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filterPrivacy="1" defaultThemeVersion="124226"/>
  <xr:revisionPtr revIDLastSave="0" documentId="8_{2FEA2497-5B8A-4BEA-98C5-E07A1150A348}" xr6:coauthVersionLast="36" xr6:coauthVersionMax="36" xr10:uidLastSave="{00000000-0000-0000-0000-000000000000}"/>
  <bookViews>
    <workbookView xWindow="0" yWindow="0" windowWidth="28800" windowHeight="11880" firstSheet="2" activeTab="3" xr2:uid="{00000000-000D-0000-FFFF-FFFF00000000}"/>
  </bookViews>
  <sheets>
    <sheet name="ВЛ " sheetId="5" state="hidden" r:id="rId1"/>
    <sheet name="КЛ" sheetId="2" state="hidden" r:id="rId2"/>
    <sheet name="ПС" sheetId="4" r:id="rId3"/>
    <sheet name="Информация о подписи" sheetId="6" r:id="rId4"/>
  </sheets>
  <definedNames>
    <definedName name="_xlnm.Print_Area" localSheetId="0">'ВЛ '!$A$1:$L$13</definedName>
    <definedName name="_xlnm.Print_Area" localSheetId="2">ПС!$A$1:$AM$136</definedName>
  </definedNames>
  <calcPr calcId="191029" calcMode="autoNoTable"/>
</workbook>
</file>

<file path=xl/calcChain.xml><?xml version="1.0" encoding="utf-8"?>
<calcChain xmlns="http://schemas.openxmlformats.org/spreadsheetml/2006/main">
  <c r="L135" i="4" l="1"/>
  <c r="I134" i="4"/>
  <c r="L134" i="4" s="1"/>
  <c r="I133" i="4"/>
  <c r="L133" i="4" s="1"/>
  <c r="AJ132" i="4"/>
  <c r="AE132" i="4" s="1"/>
  <c r="AD132" i="4"/>
  <c r="I132" i="4"/>
  <c r="L132" i="4" s="1"/>
  <c r="M132" i="4" l="1"/>
  <c r="N132" i="4" s="1"/>
  <c r="O132" i="4" s="1"/>
  <c r="AK132" i="4"/>
  <c r="AC132" i="4" l="1"/>
  <c r="Q132" i="4" s="1"/>
  <c r="AM132" i="4" s="1"/>
  <c r="P132" i="4"/>
  <c r="AL132" i="4"/>
  <c r="AJ128" i="4" l="1"/>
  <c r="AE128" i="4" s="1"/>
  <c r="AD128" i="4"/>
  <c r="AK128" i="4" s="1"/>
  <c r="I128" i="4"/>
  <c r="L128" i="4" s="1"/>
  <c r="M128" i="4" s="1"/>
  <c r="AJ129" i="4"/>
  <c r="AE129" i="4" s="1"/>
  <c r="AD129" i="4"/>
  <c r="AK129" i="4" s="1"/>
  <c r="I129" i="4"/>
  <c r="L129" i="4" s="1"/>
  <c r="M129" i="4" s="1"/>
  <c r="AJ130" i="4"/>
  <c r="AE130" i="4" s="1"/>
  <c r="AD130" i="4"/>
  <c r="I130" i="4"/>
  <c r="L130" i="4" s="1"/>
  <c r="M130" i="4" s="1"/>
  <c r="AJ131" i="4"/>
  <c r="AE131" i="4" s="1"/>
  <c r="AD131" i="4"/>
  <c r="AK131" i="4" s="1"/>
  <c r="I131" i="4"/>
  <c r="L131" i="4" s="1"/>
  <c r="M131" i="4" s="1"/>
  <c r="N128" i="4" l="1"/>
  <c r="O128" i="4" s="1"/>
  <c r="Z128" i="4" s="1"/>
  <c r="N129" i="4"/>
  <c r="O129" i="4" s="1"/>
  <c r="Z129" i="4" s="1"/>
  <c r="N130" i="4"/>
  <c r="O130" i="4" s="1"/>
  <c r="AA130" i="4" s="1"/>
  <c r="AK130" i="4"/>
  <c r="N131" i="4"/>
  <c r="O131" i="4" s="1"/>
  <c r="AB131" i="4" s="1"/>
  <c r="AL127" i="4"/>
  <c r="I127" i="4"/>
  <c r="L127" i="4" s="1"/>
  <c r="M127" i="4" s="1"/>
  <c r="N127" i="4" s="1"/>
  <c r="O127" i="4" s="1"/>
  <c r="Y127" i="4" l="1"/>
  <c r="P127" i="4"/>
  <c r="Q128" i="4"/>
  <c r="AM128" i="4" s="1"/>
  <c r="AL128" i="4"/>
  <c r="P128" i="4"/>
  <c r="Q129" i="4"/>
  <c r="AM129" i="4" s="1"/>
  <c r="AL129" i="4"/>
  <c r="P129" i="4"/>
  <c r="Q130" i="4"/>
  <c r="AM130" i="4" s="1"/>
  <c r="P130" i="4"/>
  <c r="AL130" i="4"/>
  <c r="Q131" i="4"/>
  <c r="AM131" i="4" s="1"/>
  <c r="AL131" i="4"/>
  <c r="P131" i="4"/>
  <c r="M120" i="4"/>
  <c r="N120" i="4" s="1"/>
  <c r="O120" i="4" l="1"/>
  <c r="P120" i="4" s="1"/>
  <c r="Q120" i="4" l="1"/>
  <c r="X120" i="4" s="1"/>
  <c r="I11" i="4"/>
  <c r="L11" i="4" s="1"/>
  <c r="Q127" i="4" l="1"/>
  <c r="I32" i="4"/>
  <c r="L32" i="4" s="1"/>
  <c r="W26" i="4" s="1"/>
  <c r="I31" i="4"/>
  <c r="L31" i="4" s="1"/>
  <c r="I25" i="4" l="1"/>
  <c r="L25" i="4" s="1"/>
  <c r="I24" i="4"/>
  <c r="L24" i="4" s="1"/>
  <c r="I23" i="4"/>
  <c r="L23" i="4" s="1"/>
  <c r="I22" i="4"/>
  <c r="L22" i="4" s="1"/>
  <c r="I21" i="4"/>
  <c r="L21" i="4" s="1"/>
  <c r="I20" i="4"/>
  <c r="L20" i="4" s="1"/>
  <c r="M20" i="4" s="1"/>
  <c r="I19" i="4"/>
  <c r="L19" i="4" s="1"/>
  <c r="M19" i="4" s="1"/>
  <c r="L18" i="4"/>
  <c r="M18" i="4" s="1"/>
  <c r="I18" i="4"/>
  <c r="L17" i="4"/>
  <c r="M17" i="4" s="1"/>
  <c r="I17" i="4"/>
  <c r="L16" i="4"/>
  <c r="M16" i="4" s="1"/>
  <c r="I16" i="4"/>
  <c r="L15" i="4"/>
  <c r="M15" i="4" s="1"/>
  <c r="I15" i="4"/>
  <c r="AL14" i="4"/>
  <c r="I14" i="4"/>
  <c r="L14" i="4" s="1"/>
  <c r="W13" i="4" s="1"/>
  <c r="W136" i="4" s="1"/>
  <c r="AL13" i="4"/>
  <c r="I13" i="4"/>
  <c r="L13" i="4" s="1"/>
  <c r="X13" i="4" s="1"/>
  <c r="AL12" i="4"/>
  <c r="I12" i="4"/>
  <c r="L12" i="4" s="1"/>
  <c r="M11" i="4" s="1"/>
  <c r="AL11" i="4"/>
  <c r="I10" i="4"/>
  <c r="L10" i="4" s="1"/>
  <c r="AL9" i="4"/>
  <c r="I9" i="4"/>
  <c r="L9" i="4" s="1"/>
  <c r="M9" i="4" s="1"/>
  <c r="AF136" i="4"/>
  <c r="AG136" i="4"/>
  <c r="AH136" i="4"/>
  <c r="AI136" i="4"/>
  <c r="AN136" i="4"/>
  <c r="M21" i="4" l="1"/>
  <c r="N21" i="4" s="1"/>
  <c r="O21" i="4" s="1"/>
  <c r="Q13" i="4"/>
  <c r="M13" i="4"/>
  <c r="N9" i="4"/>
  <c r="N11" i="4"/>
  <c r="O11" i="4" s="1"/>
  <c r="N15" i="4"/>
  <c r="O15" i="4" s="1"/>
  <c r="N18" i="4"/>
  <c r="O18" i="4" s="1"/>
  <c r="N16" i="4"/>
  <c r="O16" i="4" s="1"/>
  <c r="N19" i="4"/>
  <c r="O19" i="4" s="1"/>
  <c r="N20" i="4"/>
  <c r="O20" i="4" s="1"/>
  <c r="N17" i="4"/>
  <c r="O17" i="4" s="1"/>
  <c r="P17" i="4" l="1"/>
  <c r="X17" i="4"/>
  <c r="Q17" i="4" s="1"/>
  <c r="X19" i="4"/>
  <c r="Q19" i="4" s="1"/>
  <c r="P19" i="4"/>
  <c r="X16" i="4"/>
  <c r="Q16" i="4" s="1"/>
  <c r="P16" i="4"/>
  <c r="X20" i="4"/>
  <c r="Q20" i="4" s="1"/>
  <c r="P20" i="4"/>
  <c r="O9" i="4"/>
  <c r="P18" i="4"/>
  <c r="X18" i="4"/>
  <c r="Q18" i="4" s="1"/>
  <c r="X21" i="4"/>
  <c r="Q21" i="4" s="1"/>
  <c r="P21" i="4"/>
  <c r="P15" i="4"/>
  <c r="X15" i="4"/>
  <c r="Q15" i="4" s="1"/>
  <c r="X11" i="4"/>
  <c r="Q11" i="4" s="1"/>
  <c r="P11" i="4"/>
  <c r="N13" i="4"/>
  <c r="O13" i="4" s="1"/>
  <c r="P13" i="4" s="1"/>
  <c r="P9" i="4" l="1"/>
  <c r="I119" i="4"/>
  <c r="L119" i="4" s="1"/>
  <c r="I118" i="4"/>
  <c r="L118" i="4" s="1"/>
  <c r="I117" i="4"/>
  <c r="L117" i="4" s="1"/>
  <c r="I116" i="4"/>
  <c r="L116" i="4" s="1"/>
  <c r="I96" i="4"/>
  <c r="I94" i="4"/>
  <c r="L94" i="4" s="1"/>
  <c r="X9" i="4" l="1"/>
  <c r="X136" i="4" s="1"/>
  <c r="M116" i="4"/>
  <c r="I89" i="4"/>
  <c r="L89" i="4" s="1"/>
  <c r="I86" i="4"/>
  <c r="I74" i="4"/>
  <c r="L74" i="4" s="1"/>
  <c r="I77" i="4"/>
  <c r="L77" i="4" s="1"/>
  <c r="I80" i="4"/>
  <c r="L80" i="4" s="1"/>
  <c r="I78" i="4"/>
  <c r="I73" i="4"/>
  <c r="L73" i="4" s="1"/>
  <c r="AM73" i="4"/>
  <c r="I72" i="4"/>
  <c r="L72" i="4" s="1"/>
  <c r="I71" i="4"/>
  <c r="L71" i="4" s="1"/>
  <c r="I68" i="4"/>
  <c r="L68" i="4" s="1"/>
  <c r="I69" i="4"/>
  <c r="L69" i="4" s="1"/>
  <c r="I67" i="4"/>
  <c r="L67" i="4" s="1"/>
  <c r="I59" i="4"/>
  <c r="L59" i="4" s="1"/>
  <c r="I57" i="4"/>
  <c r="L57" i="4" s="1"/>
  <c r="I58" i="4"/>
  <c r="L58" i="4" s="1"/>
  <c r="I56" i="4"/>
  <c r="L56" i="4" s="1"/>
  <c r="Z54" i="4" s="1"/>
  <c r="I55" i="4"/>
  <c r="L55" i="4" s="1"/>
  <c r="I54" i="4"/>
  <c r="L54" i="4" s="1"/>
  <c r="I51" i="4"/>
  <c r="L51" i="4" s="1"/>
  <c r="I46" i="4"/>
  <c r="L46" i="4" s="1"/>
  <c r="I50" i="4"/>
  <c r="L50" i="4" s="1"/>
  <c r="I47" i="4"/>
  <c r="L47" i="4" s="1"/>
  <c r="I48" i="4"/>
  <c r="L48" i="4" s="1"/>
  <c r="I52" i="4"/>
  <c r="L52" i="4" s="1"/>
  <c r="I45" i="4"/>
  <c r="L45" i="4" s="1"/>
  <c r="I37" i="4"/>
  <c r="L37" i="4" s="1"/>
  <c r="I34" i="4"/>
  <c r="L34" i="4" s="1"/>
  <c r="I33" i="4"/>
  <c r="AA54" i="4" l="1"/>
  <c r="Q54" i="4" s="1"/>
  <c r="AB44" i="4"/>
  <c r="Q9" i="4"/>
  <c r="I28" i="4"/>
  <c r="AM108" i="4" l="1"/>
  <c r="I108" i="4"/>
  <c r="L108" i="4" s="1"/>
  <c r="I109" i="4"/>
  <c r="L109" i="4" s="1"/>
  <c r="AM109" i="4"/>
  <c r="AM106" i="4"/>
  <c r="I106" i="4"/>
  <c r="L106" i="4" s="1"/>
  <c r="AM107" i="4"/>
  <c r="I107" i="4"/>
  <c r="L107" i="4" s="1"/>
  <c r="I104" i="4"/>
  <c r="L104" i="4" s="1"/>
  <c r="I102" i="4" l="1"/>
  <c r="L102" i="4" s="1"/>
  <c r="I111" i="4"/>
  <c r="L111" i="4" s="1"/>
  <c r="AB102" i="4" s="1"/>
  <c r="I100" i="4" l="1"/>
  <c r="L100" i="4" s="1"/>
  <c r="I98" i="4"/>
  <c r="L98" i="4" s="1"/>
  <c r="I97" i="4"/>
  <c r="L97" i="4" s="1"/>
  <c r="AM94" i="4" l="1"/>
  <c r="I88" i="4" l="1"/>
  <c r="L88" i="4" s="1"/>
  <c r="I87" i="4"/>
  <c r="L87" i="4" s="1"/>
  <c r="L86" i="4"/>
  <c r="I85" i="4"/>
  <c r="L85" i="4" s="1"/>
  <c r="I84" i="4"/>
  <c r="L84" i="4" s="1"/>
  <c r="I83" i="4"/>
  <c r="L83" i="4" s="1"/>
  <c r="AM79" i="4"/>
  <c r="I79" i="4"/>
  <c r="L79" i="4" s="1"/>
  <c r="AM78" i="4"/>
  <c r="L78" i="4"/>
  <c r="I76" i="4"/>
  <c r="L76" i="4" s="1"/>
  <c r="I75" i="4"/>
  <c r="L75" i="4" s="1"/>
  <c r="AM71" i="4"/>
  <c r="I70" i="4"/>
  <c r="L70" i="4" s="1"/>
  <c r="AC74" i="4" l="1"/>
  <c r="I81" i="4"/>
  <c r="L81" i="4" s="1"/>
  <c r="I65" i="4"/>
  <c r="L65" i="4" s="1"/>
  <c r="AB74" i="4" l="1"/>
  <c r="Q74" i="4" s="1"/>
  <c r="I66" i="4"/>
  <c r="L66" i="4" s="1"/>
  <c r="Z64" i="4" s="1"/>
  <c r="AM62" i="4" l="1"/>
  <c r="I62" i="4"/>
  <c r="L62" i="4" s="1"/>
  <c r="AM61" i="4"/>
  <c r="I61" i="4"/>
  <c r="L61" i="4" s="1"/>
  <c r="I60" i="4"/>
  <c r="L60" i="4" s="1"/>
  <c r="AA57" i="4" l="1"/>
  <c r="I49" i="4"/>
  <c r="L49" i="4" s="1"/>
  <c r="AM51" i="4"/>
  <c r="AM50" i="4"/>
  <c r="AM48" i="4"/>
  <c r="AM49" i="4"/>
  <c r="AM39" i="4" l="1"/>
  <c r="I39" i="4"/>
  <c r="L39" i="4" s="1"/>
  <c r="AM40" i="4"/>
  <c r="I40" i="4"/>
  <c r="L40" i="4" s="1"/>
  <c r="AM37" i="4"/>
  <c r="AM41" i="4"/>
  <c r="I41" i="4"/>
  <c r="L41" i="4" s="1"/>
  <c r="I42" i="4"/>
  <c r="L42" i="4" s="1"/>
  <c r="AM38" i="4"/>
  <c r="I38" i="4"/>
  <c r="L38" i="4" s="1"/>
  <c r="AM36" i="4"/>
  <c r="I36" i="4"/>
  <c r="L36" i="4" s="1"/>
  <c r="L28" i="4" l="1"/>
  <c r="L33" i="4"/>
  <c r="AM30" i="4" l="1"/>
  <c r="I30" i="4"/>
  <c r="L30" i="4" s="1"/>
  <c r="I29" i="4"/>
  <c r="L29" i="4" s="1"/>
  <c r="AM29" i="4"/>
  <c r="AM32" i="4"/>
  <c r="AM28" i="4"/>
  <c r="I27" i="4" l="1"/>
  <c r="L27" i="4" s="1"/>
  <c r="AM27" i="4"/>
  <c r="AM115" i="4" l="1"/>
  <c r="I115" i="4"/>
  <c r="L115" i="4" s="1"/>
  <c r="AM114" i="4"/>
  <c r="I114" i="4"/>
  <c r="L114" i="4" s="1"/>
  <c r="AM113" i="4"/>
  <c r="I113" i="4"/>
  <c r="L113" i="4" s="1"/>
  <c r="AJ112" i="4"/>
  <c r="AE112" i="4" s="1"/>
  <c r="AD112" i="4"/>
  <c r="I112" i="4"/>
  <c r="L112" i="4" s="1"/>
  <c r="AM111" i="4"/>
  <c r="AM110" i="4"/>
  <c r="I110" i="4"/>
  <c r="L110" i="4" s="1"/>
  <c r="AM105" i="4"/>
  <c r="I105" i="4"/>
  <c r="L105" i="4" s="1"/>
  <c r="AM104" i="4"/>
  <c r="AM103" i="4"/>
  <c r="I103" i="4"/>
  <c r="L103" i="4" s="1"/>
  <c r="AJ102" i="4"/>
  <c r="AE102" i="4" s="1"/>
  <c r="AD102" i="4"/>
  <c r="AK102" i="4" s="1"/>
  <c r="AM101" i="4"/>
  <c r="I101" i="4"/>
  <c r="L101" i="4" s="1"/>
  <c r="AM100" i="4"/>
  <c r="AM99" i="4"/>
  <c r="I99" i="4"/>
  <c r="L99" i="4" s="1"/>
  <c r="AM98" i="4"/>
  <c r="AM97" i="4"/>
  <c r="AJ96" i="4"/>
  <c r="AE96" i="4" s="1"/>
  <c r="AD96" i="4"/>
  <c r="AK96" i="4" s="1"/>
  <c r="L96" i="4"/>
  <c r="AM95" i="4"/>
  <c r="I95" i="4"/>
  <c r="L95" i="4" s="1"/>
  <c r="AM93" i="4"/>
  <c r="I93" i="4"/>
  <c r="L93" i="4" s="1"/>
  <c r="AM92" i="4"/>
  <c r="I92" i="4"/>
  <c r="L92" i="4" s="1"/>
  <c r="AM91" i="4"/>
  <c r="I91" i="4"/>
  <c r="L91" i="4" s="1"/>
  <c r="AJ90" i="4"/>
  <c r="AE90" i="4" s="1"/>
  <c r="AD90" i="4"/>
  <c r="AK90" i="4" s="1"/>
  <c r="I90" i="4"/>
  <c r="L90" i="4" s="1"/>
  <c r="AJ89" i="4"/>
  <c r="AE89" i="4" s="1"/>
  <c r="AD89" i="4"/>
  <c r="AK89" i="4" s="1"/>
  <c r="AJ88" i="4"/>
  <c r="AE88" i="4" s="1"/>
  <c r="AD88" i="4"/>
  <c r="AJ87" i="4"/>
  <c r="AE87" i="4" s="1"/>
  <c r="AD87" i="4"/>
  <c r="AM86" i="4"/>
  <c r="AM85" i="4"/>
  <c r="AJ84" i="4"/>
  <c r="AE84" i="4" s="1"/>
  <c r="AD84" i="4"/>
  <c r="AK84" i="4" s="1"/>
  <c r="AJ83" i="4"/>
  <c r="AE83" i="4" s="1"/>
  <c r="AD83" i="4"/>
  <c r="AK83" i="4" s="1"/>
  <c r="AJ82" i="4"/>
  <c r="AE82" i="4" s="1"/>
  <c r="AD82" i="4"/>
  <c r="AK82" i="4" s="1"/>
  <c r="I82" i="4"/>
  <c r="L82" i="4" s="1"/>
  <c r="M82" i="4" s="1"/>
  <c r="AM81" i="4"/>
  <c r="AM80" i="4"/>
  <c r="AM77" i="4"/>
  <c r="AM76" i="4"/>
  <c r="AM75" i="4"/>
  <c r="AJ74" i="4"/>
  <c r="AE74" i="4" s="1"/>
  <c r="AD74" i="4"/>
  <c r="AK74" i="4" s="1"/>
  <c r="AM119" i="4"/>
  <c r="AM118" i="4"/>
  <c r="AM117" i="4"/>
  <c r="AJ116" i="4"/>
  <c r="AE116" i="4" s="1"/>
  <c r="AD116" i="4"/>
  <c r="AK116" i="4" s="1"/>
  <c r="AM72" i="4"/>
  <c r="AM70" i="4"/>
  <c r="AM69" i="4"/>
  <c r="AM68" i="4"/>
  <c r="AJ67" i="4"/>
  <c r="AE67" i="4" s="1"/>
  <c r="AD67" i="4"/>
  <c r="AK67" i="4" s="1"/>
  <c r="AM66" i="4"/>
  <c r="AM65" i="4"/>
  <c r="AJ64" i="4"/>
  <c r="AE64" i="4" s="1"/>
  <c r="AD64" i="4"/>
  <c r="I64" i="4"/>
  <c r="L64" i="4" s="1"/>
  <c r="AM63" i="4"/>
  <c r="I63" i="4"/>
  <c r="L63" i="4" s="1"/>
  <c r="AM60" i="4"/>
  <c r="AM59" i="4"/>
  <c r="AM58" i="4"/>
  <c r="AJ57" i="4"/>
  <c r="AE57" i="4" s="1"/>
  <c r="AD57" i="4"/>
  <c r="AK57" i="4" s="1"/>
  <c r="AM56" i="4"/>
  <c r="AM55" i="4"/>
  <c r="AJ54" i="4"/>
  <c r="AE54" i="4" s="1"/>
  <c r="AD54" i="4"/>
  <c r="AK54" i="4" s="1"/>
  <c r="AM53" i="4"/>
  <c r="I53" i="4"/>
  <c r="L53" i="4" s="1"/>
  <c r="AM52" i="4"/>
  <c r="AM47" i="4"/>
  <c r="AM46" i="4"/>
  <c r="AM45" i="4"/>
  <c r="AJ44" i="4"/>
  <c r="AE44" i="4" s="1"/>
  <c r="AD44" i="4"/>
  <c r="AK44" i="4" s="1"/>
  <c r="I44" i="4"/>
  <c r="L44" i="4" s="1"/>
  <c r="AA44" i="4" s="1"/>
  <c r="AM43" i="4"/>
  <c r="I43" i="4"/>
  <c r="L43" i="4" s="1"/>
  <c r="AM42" i="4"/>
  <c r="AM35" i="4"/>
  <c r="I35" i="4"/>
  <c r="L35" i="4" s="1"/>
  <c r="AM34" i="4"/>
  <c r="AJ33" i="4"/>
  <c r="AE33" i="4" s="1"/>
  <c r="AD33" i="4"/>
  <c r="AK33" i="4" s="1"/>
  <c r="AC102" i="4" l="1"/>
  <c r="Q102" i="4" s="1"/>
  <c r="Z57" i="4"/>
  <c r="Q57" i="4" s="1"/>
  <c r="AA64" i="4"/>
  <c r="AA136" i="4" s="1"/>
  <c r="Y44" i="4"/>
  <c r="Q44" i="4" s="1"/>
  <c r="M33" i="4"/>
  <c r="N33" i="4" s="1"/>
  <c r="O33" i="4" s="1"/>
  <c r="Y33" i="4" s="1"/>
  <c r="M57" i="4"/>
  <c r="M44" i="4"/>
  <c r="M87" i="4"/>
  <c r="N87" i="4" s="1"/>
  <c r="O87" i="4" s="1"/>
  <c r="M83" i="4"/>
  <c r="N83" i="4" s="1"/>
  <c r="O83" i="4" s="1"/>
  <c r="AA83" i="4" s="1"/>
  <c r="M96" i="4"/>
  <c r="N96" i="4" s="1"/>
  <c r="O96" i="4" s="1"/>
  <c r="AC96" i="4" s="1"/>
  <c r="M89" i="4"/>
  <c r="M90" i="4"/>
  <c r="M84" i="4"/>
  <c r="M74" i="4"/>
  <c r="M88" i="4"/>
  <c r="M112" i="4"/>
  <c r="M102" i="4"/>
  <c r="M54" i="4"/>
  <c r="N54" i="4" s="1"/>
  <c r="O54" i="4" s="1"/>
  <c r="P54" i="4" s="1"/>
  <c r="AK88" i="4"/>
  <c r="AK112" i="4"/>
  <c r="AK87" i="4"/>
  <c r="M64" i="4"/>
  <c r="N64" i="4" s="1"/>
  <c r="M67" i="4"/>
  <c r="AK64" i="4"/>
  <c r="Q64" i="4" l="1"/>
  <c r="P33" i="4"/>
  <c r="P96" i="4"/>
  <c r="Q96" i="4"/>
  <c r="AM96" i="4" s="1"/>
  <c r="P83" i="4"/>
  <c r="Q83" i="4"/>
  <c r="AM83" i="4" s="1"/>
  <c r="P87" i="4"/>
  <c r="AB87" i="4"/>
  <c r="Q87" i="4" s="1"/>
  <c r="AM87" i="4" s="1"/>
  <c r="AL87" i="4"/>
  <c r="AL96" i="4"/>
  <c r="AL83" i="4"/>
  <c r="O64" i="4"/>
  <c r="P64" i="4" s="1"/>
  <c r="N82" i="4"/>
  <c r="O82" i="4" s="1"/>
  <c r="N74" i="4"/>
  <c r="O74" i="4" s="1"/>
  <c r="P74" i="4" s="1"/>
  <c r="N102" i="4"/>
  <c r="O102" i="4" s="1"/>
  <c r="P102" i="4" s="1"/>
  <c r="N90" i="4"/>
  <c r="O90" i="4" s="1"/>
  <c r="N84" i="4"/>
  <c r="O84" i="4" s="1"/>
  <c r="AC84" i="4" s="1"/>
  <c r="N89" i="4"/>
  <c r="O89" i="4" s="1"/>
  <c r="N112" i="4"/>
  <c r="O112" i="4" s="1"/>
  <c r="N88" i="4"/>
  <c r="O88" i="4" s="1"/>
  <c r="AM54" i="4"/>
  <c r="AL54" i="4"/>
  <c r="N57" i="4"/>
  <c r="O57" i="4" s="1"/>
  <c r="P57" i="4" s="1"/>
  <c r="N116" i="4"/>
  <c r="N67" i="4"/>
  <c r="O67" i="4" s="1"/>
  <c r="N44" i="4"/>
  <c r="O44" i="4" s="1"/>
  <c r="P44" i="4" s="1"/>
  <c r="AL33" i="4"/>
  <c r="AB67" i="4" l="1"/>
  <c r="AB136" i="4" s="1"/>
  <c r="P67" i="4"/>
  <c r="P89" i="4"/>
  <c r="AC89" i="4"/>
  <c r="P82" i="4"/>
  <c r="Y82" i="4"/>
  <c r="Q84" i="4"/>
  <c r="AM84" i="4" s="1"/>
  <c r="P84" i="4"/>
  <c r="Y112" i="4"/>
  <c r="Q112" i="4" s="1"/>
  <c r="AM112" i="4" s="1"/>
  <c r="P112" i="4"/>
  <c r="P90" i="4"/>
  <c r="Y90" i="4"/>
  <c r="Q90" i="4" s="1"/>
  <c r="AM90" i="4" s="1"/>
  <c r="P88" i="4"/>
  <c r="AC88" i="4"/>
  <c r="AC136" i="4" s="1"/>
  <c r="Q33" i="4"/>
  <c r="AM33" i="4" s="1"/>
  <c r="Q89" i="4"/>
  <c r="AM89" i="4" s="1"/>
  <c r="AM64" i="4"/>
  <c r="O116" i="4"/>
  <c r="AL64" i="4"/>
  <c r="AL88" i="4"/>
  <c r="AL82" i="4"/>
  <c r="AL112" i="4"/>
  <c r="AM102" i="4"/>
  <c r="AL102" i="4"/>
  <c r="AM74" i="4"/>
  <c r="AL74" i="4"/>
  <c r="AL90" i="4"/>
  <c r="AL89" i="4"/>
  <c r="AL84" i="4"/>
  <c r="AM57" i="4"/>
  <c r="AL57" i="4"/>
  <c r="AL67" i="4"/>
  <c r="AM44" i="4"/>
  <c r="AL44" i="4"/>
  <c r="Q67" i="4" l="1"/>
  <c r="Q82" i="4"/>
  <c r="AM82" i="4" s="1"/>
  <c r="Q88" i="4"/>
  <c r="AM88" i="4" s="1"/>
  <c r="P116" i="4"/>
  <c r="Y116" i="4"/>
  <c r="Y136" i="4" s="1"/>
  <c r="AL116" i="4"/>
  <c r="AM67" i="4"/>
  <c r="Q116" i="4" l="1"/>
  <c r="AM116" i="4" s="1"/>
  <c r="F8" i="4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l="1"/>
  <c r="AC8" i="4" s="1"/>
  <c r="AD8" i="4" s="1"/>
  <c r="AE8" i="4" s="1"/>
  <c r="AF8" i="4" s="1"/>
  <c r="AG8" i="4" s="1"/>
  <c r="AL8" i="4" s="1"/>
  <c r="I26" i="4"/>
  <c r="L26" i="4" s="1"/>
  <c r="Z26" i="4" s="1"/>
  <c r="Z136" i="4" s="1"/>
  <c r="Q26" i="4" l="1"/>
  <c r="M26" i="4"/>
  <c r="M136" i="4" s="1"/>
  <c r="G10" i="5"/>
  <c r="Q136" i="4" l="1"/>
  <c r="H9" i="5"/>
  <c r="G9" i="5"/>
  <c r="N26" i="4" l="1"/>
  <c r="N136" i="4" s="1"/>
  <c r="J9" i="5"/>
  <c r="L9" i="5" s="1"/>
  <c r="I9" i="5"/>
  <c r="K9" i="5" s="1"/>
  <c r="O26" i="4" l="1"/>
  <c r="O136" i="4" s="1"/>
  <c r="G8" i="5"/>
  <c r="H7" i="5"/>
  <c r="G7" i="5"/>
  <c r="P26" i="4" l="1"/>
  <c r="P136" i="4" s="1"/>
  <c r="J7" i="5"/>
  <c r="I7" i="5"/>
  <c r="AJ26" i="4" l="1"/>
  <c r="AJ136" i="4" s="1"/>
  <c r="AD26" i="4"/>
  <c r="AD136" i="4" s="1"/>
  <c r="K7" i="5"/>
  <c r="K11" i="5" s="1"/>
  <c r="I11" i="5"/>
  <c r="L7" i="5"/>
  <c r="L11" i="5" s="1"/>
  <c r="J11" i="5"/>
  <c r="G11" i="2"/>
  <c r="I11" i="2" s="1"/>
  <c r="J11" i="2" s="1"/>
  <c r="G10" i="2"/>
  <c r="I10" i="2" s="1"/>
  <c r="J10" i="2" s="1"/>
  <c r="G9" i="2"/>
  <c r="I9" i="2" s="1"/>
  <c r="J9" i="2" s="1"/>
  <c r="G8" i="2"/>
  <c r="I8" i="2" s="1"/>
  <c r="J8" i="2" s="1"/>
  <c r="G7" i="2"/>
  <c r="I7" i="2" s="1"/>
  <c r="J7" i="2" s="1"/>
  <c r="G6" i="2"/>
  <c r="I6" i="2" s="1"/>
  <c r="J6" i="2" s="1"/>
  <c r="G5" i="2"/>
  <c r="I5" i="2" s="1"/>
  <c r="J5" i="2" s="1"/>
  <c r="B5" i="2"/>
  <c r="B6" i="2" s="1"/>
  <c r="B7" i="2" s="1"/>
  <c r="B8" i="2" s="1"/>
  <c r="B9" i="2" s="1"/>
  <c r="B10" i="2" s="1"/>
  <c r="B11" i="2" s="1"/>
  <c r="G4" i="2"/>
  <c r="I4" i="2" s="1"/>
  <c r="J4" i="2" s="1"/>
  <c r="AK26" i="4" l="1"/>
  <c r="AK136" i="4" s="1"/>
  <c r="AL26" i="4"/>
  <c r="AL136" i="4" s="1"/>
  <c r="AE26" i="4"/>
  <c r="AE136" i="4" s="1"/>
  <c r="J12" i="2"/>
  <c r="AM26" i="4" l="1"/>
  <c r="AM136" i="4" s="1"/>
</calcChain>
</file>

<file path=xl/sharedStrings.xml><?xml version="1.0" encoding="utf-8"?>
<sst xmlns="http://schemas.openxmlformats.org/spreadsheetml/2006/main" count="718" uniqueCount="294">
  <si>
    <t>№ п/п</t>
  </si>
  <si>
    <t>Вид работ</t>
  </si>
  <si>
    <t>№ расценки</t>
  </si>
  <si>
    <t>Стоимость в ценах на 01.01.2015</t>
  </si>
  <si>
    <t>Дефлятор текущих цен</t>
  </si>
  <si>
    <t>Стоимость в текущих ценах</t>
  </si>
  <si>
    <t>Стоимость с НДС</t>
  </si>
  <si>
    <t>Кол-во, км</t>
  </si>
  <si>
    <t>ИТОГО</t>
  </si>
  <si>
    <t>Цена, млн. руб.</t>
  </si>
  <si>
    <t>млн. руб.</t>
  </si>
  <si>
    <t>заполнять</t>
  </si>
  <si>
    <t>не заполнять</t>
  </si>
  <si>
    <t>Расчет стоимости строительства КЛ</t>
  </si>
  <si>
    <t>Напряжение, кВ</t>
  </si>
  <si>
    <t>Норматив цены, млн. руб.</t>
  </si>
  <si>
    <t>Полная стоимость в текущих ценах</t>
  </si>
  <si>
    <t>Полная стоимость в текущих ценах с НДС</t>
  </si>
  <si>
    <t>Результаты расчетов объемов финансовых потребностей, необходимых для строительства (реконструкции) объектов электроэнергетики, выполненных в соответствии с укрупненными нормативами цены типовых технологических решений капитального строительства объектов электроэнергетики (Приказ Минэнерго от 08.02.2016 №75)</t>
  </si>
  <si>
    <t>Год раскрытия информации: 2018 год</t>
  </si>
  <si>
    <t>П3-03</t>
  </si>
  <si>
    <t>Л2-44-2</t>
  </si>
  <si>
    <t>Строительство ВЛ 35 кВ от ПС 110 кВ Вольная до ПС 35 кВ Весенняя (ПИР, СМР, ввод-2019г.)</t>
  </si>
  <si>
    <t>Строительство ВЛ 110 кВ Соколовская-Вольная-2 (ПИР, СМР, ввод-2019г.)</t>
  </si>
  <si>
    <t>Л1-44-4</t>
  </si>
  <si>
    <t>П3-10</t>
  </si>
  <si>
    <t>Полная стоимость в прогнозных ценах  с НДС</t>
  </si>
  <si>
    <t>Полная стоимость в прогнозных ценах</t>
  </si>
  <si>
    <t>Начальник производственно- технического отдела  филиала ООО ХК "СДС-Энерго"-"Прокопьевскэнерго"</t>
  </si>
  <si>
    <t>А.А. Гребенчук</t>
  </si>
  <si>
    <t xml:space="preserve"> Таблица 1. Строительство (реконструкция) ВЛ 6-750 кВ</t>
  </si>
  <si>
    <t>По объектам  инвестиционной программы ООО ХК "СДС-Энерго" на 2020 год</t>
  </si>
  <si>
    <t>Наименование</t>
  </si>
  <si>
    <t>км</t>
  </si>
  <si>
    <t>Коэффициент перехода (пересчета) от базового УНЦ к УНЦ субъектов РФ</t>
  </si>
  <si>
    <t>-</t>
  </si>
  <si>
    <t>ячейка</t>
  </si>
  <si>
    <t>Напряжение 6 кВ</t>
  </si>
  <si>
    <t>объект</t>
  </si>
  <si>
    <t>Л3-02-1</t>
  </si>
  <si>
    <t xml:space="preserve">Напряжение - 6 кВ, тип опор и количество цепей - одноцепная, все типы опор за исключением многогранных </t>
  </si>
  <si>
    <t>Л4-02-1</t>
  </si>
  <si>
    <t>тн опор</t>
  </si>
  <si>
    <t xml:space="preserve">Напряжение - 6 кВ,тип опор - все типы опор за исключением многогранных </t>
  </si>
  <si>
    <t>га</t>
  </si>
  <si>
    <t>Л7-04-3</t>
  </si>
  <si>
    <t>Количество фазных проводов - 1 шт, сечение фазного провода - 70 мм2, тип провода - СИП-3</t>
  </si>
  <si>
    <t>Технические характеристики</t>
  </si>
  <si>
    <t>Количество</t>
  </si>
  <si>
    <t>Единицы измерения</t>
  </si>
  <si>
    <t xml:space="preserve">Укрупненный норматив цены,  тыс рублей (без НДС) </t>
  </si>
  <si>
    <t>Величина затрат, тыс рублей (без НДС)</t>
  </si>
  <si>
    <t>НДС</t>
  </si>
  <si>
    <t xml:space="preserve">Итого объем финансовых потребностей, в ценах, в которых рассчитаны укрупненные нормативы цены с учетом переводного коэффициента (без НДС) </t>
  </si>
  <si>
    <t>Итого объем финансовых потребностей ОФПУНЦd, определенный в текущих ценах, в которых рассчитаны укрупненные нормативы цены  (с НДС)</t>
  </si>
  <si>
    <r>
      <rPr>
        <b/>
        <sz val="11"/>
        <rFont val="Times New Roman"/>
        <family val="1"/>
        <charset val="204"/>
      </rPr>
      <t xml:space="preserve">Объем финансовых потребностей </t>
    </r>
    <r>
      <rPr>
        <b/>
        <i/>
        <sz val="11"/>
        <rFont val="Times New Roman"/>
        <family val="1"/>
        <charset val="204"/>
      </rPr>
      <t>ОФП</t>
    </r>
    <r>
      <rPr>
        <b/>
        <i/>
        <vertAlign val="subscript"/>
        <sz val="11"/>
        <rFont val="Times New Roman"/>
        <family val="1"/>
        <charset val="204"/>
      </rPr>
      <t>ПР</t>
    </r>
    <r>
      <rPr>
        <b/>
        <i/>
        <vertAlign val="superscript"/>
        <sz val="11"/>
        <rFont val="Times New Roman"/>
        <family val="1"/>
        <charset val="204"/>
      </rPr>
      <t xml:space="preserve">УНЦ </t>
    </r>
    <r>
      <rPr>
        <b/>
        <sz val="11"/>
        <rFont val="Times New Roman"/>
        <family val="1"/>
        <charset val="204"/>
      </rPr>
      <t>(в прогнозных ценах с НДС)</t>
    </r>
  </si>
  <si>
    <t>Итого фактический объем финансовых потребностей ОФПУНЦd, определенный в текущих ценах, в которых рассчитаны укрупненные нормативы цены  (с НДС)</t>
  </si>
  <si>
    <r>
      <t xml:space="preserve">Объем финансирования инвестиций по инвестиционному проекту </t>
    </r>
    <r>
      <rPr>
        <b/>
        <i/>
        <sz val="11"/>
        <rFont val="Times New Roman"/>
        <family val="1"/>
        <charset val="204"/>
      </rPr>
      <t>ОФ</t>
    </r>
    <r>
      <rPr>
        <b/>
        <i/>
        <vertAlign val="subscript"/>
        <sz val="11"/>
        <rFont val="Times New Roman"/>
        <family val="1"/>
        <charset val="204"/>
      </rPr>
      <t>ПР</t>
    </r>
    <r>
      <rPr>
        <b/>
        <i/>
        <vertAlign val="superscript"/>
        <sz val="11"/>
        <rFont val="Times New Roman"/>
        <family val="1"/>
        <charset val="204"/>
      </rPr>
      <t>всего</t>
    </r>
    <r>
      <rPr>
        <b/>
        <sz val="11"/>
        <rFont val="Times New Roman"/>
        <family val="1"/>
        <charset val="204"/>
      </rPr>
      <t xml:space="preserve"> (в прогнозных ценах с НДС), в том числе:</t>
    </r>
  </si>
  <si>
    <r>
      <t xml:space="preserve">Фактический объем финансирования инвестиций по инвестиционному проекту </t>
    </r>
    <r>
      <rPr>
        <b/>
        <i/>
        <sz val="11"/>
        <rFont val="Times New Roman"/>
        <family val="1"/>
        <charset val="204"/>
      </rPr>
      <t>Ф</t>
    </r>
    <r>
      <rPr>
        <b/>
        <i/>
        <vertAlign val="subscript"/>
        <sz val="11"/>
        <rFont val="Times New Roman"/>
        <family val="1"/>
        <charset val="204"/>
      </rPr>
      <t xml:space="preserve">d </t>
    </r>
    <r>
      <rPr>
        <b/>
        <sz val="11"/>
        <rFont val="Times New Roman"/>
        <family val="1"/>
        <charset val="204"/>
      </rPr>
      <t xml:space="preserve">(с НДС) </t>
    </r>
    <r>
      <rPr>
        <b/>
        <vertAlign val="superscript"/>
        <sz val="11"/>
        <rFont val="Times New Roman"/>
        <family val="1"/>
        <charset val="204"/>
      </rPr>
      <t>2)</t>
    </r>
  </si>
  <si>
    <r>
      <t xml:space="preserve">Объем финансовых потребностей </t>
    </r>
    <r>
      <rPr>
        <b/>
        <i/>
        <sz val="11"/>
        <rFont val="Symbol"/>
        <family val="1"/>
        <charset val="2"/>
      </rPr>
      <t>D</t>
    </r>
    <r>
      <rPr>
        <b/>
        <i/>
        <sz val="11"/>
        <rFont val="Times New Roman"/>
        <family val="1"/>
        <charset val="204"/>
      </rPr>
      <t>ОФП</t>
    </r>
    <r>
      <rPr>
        <b/>
        <i/>
        <vertAlign val="superscript"/>
        <sz val="11"/>
        <rFont val="Times New Roman"/>
        <family val="1"/>
        <charset val="204"/>
      </rPr>
      <t>УНЦ</t>
    </r>
    <r>
      <rPr>
        <b/>
        <i/>
        <vertAlign val="subscript"/>
        <sz val="11"/>
        <rFont val="Times New Roman"/>
        <family val="1"/>
        <charset val="204"/>
      </rPr>
      <t xml:space="preserve">d  </t>
    </r>
    <r>
      <rPr>
        <b/>
        <sz val="11"/>
        <rFont val="Times New Roman"/>
        <family val="1"/>
        <charset val="204"/>
      </rPr>
      <t xml:space="preserve">(с НДС) </t>
    </r>
    <r>
      <rPr>
        <b/>
        <vertAlign val="superscript"/>
        <sz val="11"/>
        <rFont val="Times New Roman"/>
        <family val="1"/>
        <charset val="204"/>
      </rPr>
      <t>2)</t>
    </r>
  </si>
  <si>
    <t>Стоимость в ценах на 01.01.2018г.  с учетом коэффициента</t>
  </si>
  <si>
    <t>ФАКТ</t>
  </si>
  <si>
    <t>расценка</t>
  </si>
  <si>
    <t>коэф-т</t>
  </si>
  <si>
    <t>Дефлятор:
2019г. от 30.09.2020г.
2021 г. от 26.09.2020г.</t>
  </si>
  <si>
    <t>скрыть</t>
  </si>
  <si>
    <t>проверить индексы по строительству+факт 2021 г.</t>
  </si>
  <si>
    <t>35/6</t>
  </si>
  <si>
    <t>6/0,4</t>
  </si>
  <si>
    <t>110/6</t>
  </si>
  <si>
    <t>Год раскрытия информации: 2024 год</t>
  </si>
  <si>
    <t>Реконструкция ОРУ-35 кВ, ЗРУ-6 кВ ПС 35/6 кВ № 42 с устройством РЗиА и установкой ШОТ (ПИР - 2023 г., СМР, ввод - 2026 г.)</t>
  </si>
  <si>
    <t>Реконструкция РУ-6 кВ, РЗА  ПС 35/6 кВ № 41 с установкой блок-модулей 1, 2 сек.6 кВ с ОПУ (ПИР - 2016 г., СМР, ввод - 2025 г.)</t>
  </si>
  <si>
    <t>Реконструкция РЗиА 6, 35 кВ, ЗРУ-6, 35 кВ,  ПС 35/6 кВ № 1 с  установкой ШОТ (ПИР - 2025 г., СМР, ввод - 2027 г., 2028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</si>
  <si>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</si>
  <si>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</si>
  <si>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110/35/6</t>
  </si>
  <si>
    <t>Замена трансформатора ТСН-2  6/0,23 кВ 250 кВА на ПС 35/6 кВ № 1 (СМР, ввод - 2025 г.)</t>
  </si>
  <si>
    <t>Замена аккумуляторных батарей и зарядного устройства на ПС 110/35/6 кВ № 37 (СМР, ввод - 2026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</si>
  <si>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</si>
  <si>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</si>
  <si>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</si>
  <si>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0,4</t>
  </si>
  <si>
    <t>Реконструкция ВЛ 35 кВ, 35-К-10, 35-К-12 в части замены опор (ПИР - 2028 г., СМР, ввод - 2029 г.)</t>
  </si>
  <si>
    <t>35</t>
  </si>
  <si>
    <t>Дооборудование ВЛ 10 кВ 10-20-МП с установкой 1 реклоузера (ПИР, СМР, ввод - 2025 г.)</t>
  </si>
  <si>
    <t>10</t>
  </si>
  <si>
    <t>Дооборудование ВЛ 10 кВ 10-18-П отпайка с установкой 1 реклоузера (ПИР, СМР, ввод - 2025 г.)</t>
  </si>
  <si>
    <t>В2-05-1</t>
  </si>
  <si>
    <t>Напряжение 35 кВ, номинальный ток 2000 А, номинальный ток отключения 25 кА</t>
  </si>
  <si>
    <t>Напряжение - 6 кВ, номинальный ток 1000 А, номинальный ток отключения 25 кА</t>
  </si>
  <si>
    <t>В2-02-1</t>
  </si>
  <si>
    <t>единица</t>
  </si>
  <si>
    <t>Шкаф ТН 35кВ</t>
  </si>
  <si>
    <t>Напряжение 6 кВ, номинальный ток 1600 А, номинальный ток отключения 25 кА</t>
  </si>
  <si>
    <t>Б1-10</t>
  </si>
  <si>
    <t>кв.м</t>
  </si>
  <si>
    <t>Кемеровская обл.</t>
  </si>
  <si>
    <t>В2-01-1</t>
  </si>
  <si>
    <t>Напряжение 6 кВ, номинальный ток 630 А, номинальный ток отключения 25 кА</t>
  </si>
  <si>
    <t>В2-03-1</t>
  </si>
  <si>
    <t>Шкаф ТН 6-35кВ</t>
  </si>
  <si>
    <t>А4-01</t>
  </si>
  <si>
    <t>План</t>
  </si>
  <si>
    <t>Напряжение 35кВ</t>
  </si>
  <si>
    <t>Н3-01-2</t>
  </si>
  <si>
    <t xml:space="preserve">Сечение жилы 1,5мм кв., кол-во жил - 5 шт. </t>
  </si>
  <si>
    <t>Н3-02-1</t>
  </si>
  <si>
    <t xml:space="preserve">Сечение жилы 2,5мм кв., кол-во жил - 4 шт. </t>
  </si>
  <si>
    <t>П6-10</t>
  </si>
  <si>
    <t>Напряжение 35 кВ</t>
  </si>
  <si>
    <t>А4-02</t>
  </si>
  <si>
    <t>П6-09</t>
  </si>
  <si>
    <t>П2-02</t>
  </si>
  <si>
    <t xml:space="preserve">Ячейка выкл. 110кВ </t>
  </si>
  <si>
    <t xml:space="preserve">Шкаф центр.сигнализ. ПС 110 кВ </t>
  </si>
  <si>
    <t>П5-01</t>
  </si>
  <si>
    <t>1 км по трассе</t>
  </si>
  <si>
    <t>В3-01-1</t>
  </si>
  <si>
    <t>Напряжение 6 кВ, номинальный ток 1000 А, номинальный ток отключения 20 кА</t>
  </si>
  <si>
    <t>В3-03-2</t>
  </si>
  <si>
    <t>А5-01</t>
  </si>
  <si>
    <t>Шкаф ЦК ПС</t>
  </si>
  <si>
    <t>ИВКЭ для ПС 35кВ и выше</t>
  </si>
  <si>
    <t>И5-06-3</t>
  </si>
  <si>
    <t>Разъед. на три полюса, напряжение 110кВ</t>
  </si>
  <si>
    <t>Аккумуляторная батарея, емкость 350 А/ч</t>
  </si>
  <si>
    <t>Мощность 16 МВА, двухобмоточный трансформатор напряжением 35кВ</t>
  </si>
  <si>
    <t>Т4-06-1</t>
  </si>
  <si>
    <t>Мощность 10 МВА, двухобмоточный трансформатор напряжением 35 кВ</t>
  </si>
  <si>
    <t>П3-02</t>
  </si>
  <si>
    <t>Напряжение 6кВ, протяженность 2км</t>
  </si>
  <si>
    <t>В6-01</t>
  </si>
  <si>
    <t>К3-03-2</t>
  </si>
  <si>
    <t>Сечение жилы 35 мм.кв., медная жила кол-во 4</t>
  </si>
  <si>
    <t>К3-04-5</t>
  </si>
  <si>
    <t>Сечение жилы 50 мм.кв., медная жила кол-во 5</t>
  </si>
  <si>
    <t>К3-05-2</t>
  </si>
  <si>
    <t>Сечение жилы 75 мм.кв., медная жила кол-во 4</t>
  </si>
  <si>
    <t>Н2-01</t>
  </si>
  <si>
    <t>1 м. по трассе</t>
  </si>
  <si>
    <t>Металические лотки и короба</t>
  </si>
  <si>
    <t>Н2-04</t>
  </si>
  <si>
    <t>Кабельная эстакада</t>
  </si>
  <si>
    <t>Напряжение 0,4 кВ</t>
  </si>
  <si>
    <t>П5-02</t>
  </si>
  <si>
    <t>Л5-04</t>
  </si>
  <si>
    <t>Сечение фазного провода - 150 мм2, сталеалюминевый</t>
  </si>
  <si>
    <t>Л3-03-2</t>
  </si>
  <si>
    <t xml:space="preserve">Напряжение - 35 кВ, тип опор и количество цепей - двухцепная, все типы опор за исключением многогранных </t>
  </si>
  <si>
    <t>Л4-03-1</t>
  </si>
  <si>
    <t xml:space="preserve">Напряжение - 35 кВ,тип опор - все типы опор за исключением многогранных </t>
  </si>
  <si>
    <t>Л6-06</t>
  </si>
  <si>
    <t>Диаметр 13,2 мм</t>
  </si>
  <si>
    <t>Л2-03-2</t>
  </si>
  <si>
    <t xml:space="preserve">Напряжение 35кВ, двухцепная, все типы опор за исключением многогранных </t>
  </si>
  <si>
    <t>Л1-03-2</t>
  </si>
  <si>
    <t>М2-03-2</t>
  </si>
  <si>
    <t>Напряжение 35кВ, количество цепей - 2шт.</t>
  </si>
  <si>
    <t>Напряжение 35кВ, гирлянда изоляторов</t>
  </si>
  <si>
    <t>Напряжение 10 кВ</t>
  </si>
  <si>
    <t>Л2-02-1</t>
  </si>
  <si>
    <t xml:space="preserve">Напряжение - 10 кВ,тип опор - все типы опор за исключением многогранных </t>
  </si>
  <si>
    <t xml:space="preserve">Напряжение - 10 кВ, тип опор и количество цепей - одноцепная, все типы опор за исключением многогранных </t>
  </si>
  <si>
    <t>Т4-07-1</t>
  </si>
  <si>
    <t>Мощность 250 кВА, двухобмоточный трансформатор маслянный 6кВ</t>
  </si>
  <si>
    <t>Строительство сетей 0,4 кВ на промплощадке Филиала ООО ХК "СДС-Энерго"-"Прокопьевскэнерго" (ПИР, СМР, ввод - 2026 г.)</t>
  </si>
  <si>
    <t xml:space="preserve">Реконструкция ПС 35/6 кВ № 31 с заменой ячеек 6 кВ с масляными выключателями на вакуумные с устройствами РЗиА (ПИР - 2026 г., СМР, ввод - 2027 г.) </t>
  </si>
  <si>
    <t xml:space="preserve">Реконструкция ВЛ фид. 16 ПС 6/0,4 кВ № 20ст с заменой опор, линейной арматуры, провода на СИП и установкой 1 реклоузера (ПИР, СМР, ввод - 2025 г.) 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</si>
  <si>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</si>
  <si>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>П1-01</t>
  </si>
  <si>
    <t>ед.</t>
  </si>
  <si>
    <t>Класс напряжения ПС 35/6 кВ</t>
  </si>
  <si>
    <t>И13-04</t>
  </si>
  <si>
    <t>И12-03</t>
  </si>
  <si>
    <t>Шкаф с зарядно-подзарядными устройствами ток 100А</t>
  </si>
  <si>
    <t>Ц1-84-1</t>
  </si>
  <si>
    <t>И11-45</t>
  </si>
  <si>
    <t>Шкафы РЗА 1 архитектуры. Комплект защит тр-ра с высшим напряжением 35кВ, с функциями ПА</t>
  </si>
  <si>
    <t>Ц1-84-6</t>
  </si>
  <si>
    <t>И11-39</t>
  </si>
  <si>
    <t>Шкафы РЗА 1 архитектуры. Комплект защит и автоматики вводного выкл. 35кВ</t>
  </si>
  <si>
    <t>Ц1-84-7</t>
  </si>
  <si>
    <t>И11-59</t>
  </si>
  <si>
    <t>Шкафы РЗА 2 архитектуры, диферрециальная защита ошиновки 35 кВ (2компл.), УРОВ, АУВ</t>
  </si>
  <si>
    <t>Шкаф с зарядно-подзарядными устройствами, номинальный ток 100А</t>
  </si>
  <si>
    <t>Ц1-84-5</t>
  </si>
  <si>
    <t>А3-09-3</t>
  </si>
  <si>
    <t>Ц1-84-3</t>
  </si>
  <si>
    <t>ТМ/ССПИ на КРУ(Н) 6-35 кВ с интеграцией в сущ. АСУТП ПС с кол-вом яч. 4-7</t>
  </si>
  <si>
    <t>И11-94</t>
  </si>
  <si>
    <t>Шкафы РЗА 2 архитектуры, Шкаф автоматики регулирования напряжения в двух трансформаторах</t>
  </si>
  <si>
    <t>И12-02</t>
  </si>
  <si>
    <t>И12-01-1</t>
  </si>
  <si>
    <t>Шкаф РАС 1 архитектуры с общ. Кол-вом аналоговых и дискретных сигналов: 32 шт. (для ПС с кол-вом присоединений 110 кВ до 2)</t>
  </si>
  <si>
    <t>И11-31</t>
  </si>
  <si>
    <t>Шкаф РЗА 1 архитектуры. Комплект защит тр-ра 110кВ и ошиновки 6-35кВ</t>
  </si>
  <si>
    <t>А2-02</t>
  </si>
  <si>
    <t>А3-07-1</t>
  </si>
  <si>
    <t>ТМ/ССПИ на ПС 110 кВ с кол-вом присоедин классом напряжения 35кВ и выше:2-3</t>
  </si>
  <si>
    <t>И12-09</t>
  </si>
  <si>
    <t>И13-02</t>
  </si>
  <si>
    <t xml:space="preserve">Шкаф отходящих линий (12 ед.) на постоянном токе с АВ </t>
  </si>
  <si>
    <t>Ц1-84-4</t>
  </si>
  <si>
    <t>Т5.1-06-1</t>
  </si>
  <si>
    <t>Ц2-84-9</t>
  </si>
  <si>
    <t>Ц2-84-43</t>
  </si>
  <si>
    <t>Б7-02</t>
  </si>
  <si>
    <t>Расчистка кустарников и мелколесья, вырубка деревьев  с диаметром ствола до 11 см. 12 см и более</t>
  </si>
  <si>
    <t>Ц1-84-10</t>
  </si>
  <si>
    <t>Ц2-84-12</t>
  </si>
  <si>
    <t>Ц2-84-17</t>
  </si>
  <si>
    <t>Ц2-84-42</t>
  </si>
  <si>
    <t>Л10-01-2</t>
  </si>
  <si>
    <t>Ц1-84-8</t>
  </si>
  <si>
    <t>Расчистка кустарников и мелколесья, вырубка деревьев с диаметром ствола до 11 см. 12 см и более</t>
  </si>
  <si>
    <t>Напряжение - 10 кВ,тип опор - все типы опор за исключением многогранных, количество цепей-одноцепная</t>
  </si>
  <si>
    <t>Л1-02-1</t>
  </si>
  <si>
    <t>Ц2-84-2</t>
  </si>
  <si>
    <t>Реконструкция ЗРУ-35 кВ ПС 35/6 кВ "ОГР" с заменой ячеек КРУ-35. (ПИР - 2022 г.СМР, ПНР, ввод - 2024 г.)</t>
  </si>
  <si>
    <t>В3-14-1</t>
  </si>
  <si>
    <t>Напряжение - 35 кВ, номинальный ток - 1000 А, номинальный ток напряжения - 25 кА</t>
  </si>
  <si>
    <t>нд</t>
  </si>
  <si>
    <t>П6-11</t>
  </si>
  <si>
    <t xml:space="preserve">Реконструкция ОРУ-35 кВ ПС 35/6 кВ № 41 с установкой блок-модуля 35 кВ (СМР, ПНР, ввод - 2024 г.) </t>
  </si>
  <si>
    <t>Напряжение - 35 кВ, номинальный ток - 2000 А, номинальный ток напряжения - 25 кА</t>
  </si>
  <si>
    <t>П2-01</t>
  </si>
  <si>
    <t>Напряжение - 35 кВ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</si>
  <si>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(ПИР-2023, СМР, ПНР, ввод - 2024 г.)</t>
  </si>
  <si>
    <t>Мощность - 10 МВА, обозначение двухобмоточного трансформатора - 35 кВ</t>
  </si>
  <si>
    <t>П6-06</t>
  </si>
  <si>
    <t>Замена Траснсформатора Т-1 типа ТМ-1600кВА (инв.№ 00002155) ПС №29 (СМР, ПНР, ввод - 2024 г.)</t>
  </si>
  <si>
    <t>Т5-22-1</t>
  </si>
  <si>
    <t>Двухобмоточный тр-р  масленный, напряжение Т-6/0,4</t>
  </si>
  <si>
    <t>Замена КТП 160 кВА типа КТПН-ВК-1А-160/10/0,4 (инв.№ 00001390)  на ТП "Ключи" без силового трансформатора (СМР, ПНР, ввод - 2024 г.)</t>
  </si>
  <si>
    <t>10/0,4</t>
  </si>
  <si>
    <t>Э1-05-1</t>
  </si>
  <si>
    <t>Мощность кВА-160, количество трансформаторов - 1 шт.</t>
  </si>
  <si>
    <t>Ц1-84-2</t>
  </si>
  <si>
    <t>Замена КТП 250 кВА (инв.№ 00001389) на ПС №6 (СМР, ПНР, ввод - 2024 г.)</t>
  </si>
  <si>
    <t>Э1-06-1</t>
  </si>
  <si>
    <t>Мощность кВА-250, количество трансформаторов - 1 шт.</t>
  </si>
  <si>
    <t>Замена КТП 250 кВА (инв.№ 00001388) Ново-Сафоново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</si>
  <si>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</si>
  <si>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Замена шкафа ШОТ1М-220-12-17-60-6-24-21УХЛ3.1 (инв.№00003555) подстанции 110/6кВ «Листвяжная» на новый (СМР, ПНР, ввод - 2024 г.)</t>
  </si>
  <si>
    <t xml:space="preserve">Строительство сооружения линейного электротехнического: отпайка от ВЛЗ-6 кВ ф.2 ПС №10 для резервного питания ПС № 22  (ПИР, СМР, ПНР, ввод - 2024 г.)   </t>
  </si>
  <si>
    <t xml:space="preserve">Реконструкция ПС 110/35/6 кВ      № 37 с заменой, вводных и секционного   масляных выключателей на вакуумные и устройств РЗиА по стороне 6, 35, 110 кВ (ПИР - 2028 г., СМР, ввод - 2029 г.) </t>
  </si>
  <si>
    <t>По объектам  инвестиционной программы ООО ХК "СДС-Энерго" 2024 - 2029 годов</t>
  </si>
  <si>
    <t>Результаты расчетов объемов финансовых потребностей, необходимых для строительства (реконструкции) объектов электроэнергетики, выполненных в соответствии с укрупненными нормативами цены типовых технологических решений капитального строительства объектов электроэнергетики  (Приказ Минэнерго от 26.02.2024 №131)</t>
  </si>
  <si>
    <t xml:space="preserve">Затраты по УНЦ от 151 до 301 </t>
  </si>
  <si>
    <t>Затраты по УНЦ от 51  до 151</t>
  </si>
  <si>
    <t>Затраты по УНЦ от 1,1 до 6</t>
  </si>
  <si>
    <t>Затраты по УНЦ от 21  до 51 млн.руб.</t>
  </si>
  <si>
    <t>Л7-06-3</t>
  </si>
  <si>
    <t>Количество фазных проводов - 1 шт, сечение фазного провода - 120 мм2, тип провода - СИП-3</t>
  </si>
  <si>
    <t>К1-05-1</t>
  </si>
  <si>
    <t xml:space="preserve">Сечение жилы 120 мм2, напряжение 6кВ  </t>
  </si>
  <si>
    <t>П3-04</t>
  </si>
  <si>
    <t>Напряжение 0,4-20 кВ, протяженность - 6 км</t>
  </si>
  <si>
    <t>Строительство ЛЭП-6 кВ от линейной ячейки №8 ПС 35 кВ №5 (СМР, ввод - 2024 г.)</t>
  </si>
  <si>
    <t>Реконструкция ПС 35/6 кВ "Шурапская" с заменой ячеек К-65 на блок-модуль ЗРУ-35 с устройствами РЗиА (ПИР, СМР, ПНР, ввод - 2025 г.)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</si>
  <si>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</si>
  <si>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Замена отработавшего срок эксплуатации трансформатора Т-2 ТДНС-10000 кВА  на ПС 35/6 кВ ПС № 10 (СМР, ввод - 2026 г.)</t>
  </si>
  <si>
    <t>Замена отработавшего срок эксплуатации трансформатора Т-2 ТДНС-16000 кВА  на ПС 35/6 кВ Шурапская (СМР, ввод - 2027 г.)</t>
  </si>
  <si>
    <t>Замена отработавшего срок эксплуатации трансформатора Т-3 ТДНС-16000 кВА  на ПС 35/6 кВ ПС № 1 (СМР, ввод - 2028 г.)</t>
  </si>
  <si>
    <t>Замена разъединителей 110 кВ на ПС 110/35/6 кВ  № 37 (СМР, ввод - 2027 г.)</t>
  </si>
  <si>
    <t>Замена ЗРУ-6 кВ ПС 6/0,4 кВ №3 на 2КТП 630/6/0,4  (СМР, ввод - 2029 г.)</t>
  </si>
  <si>
    <t>Э1-08-1</t>
  </si>
  <si>
    <t>ед</t>
  </si>
  <si>
    <t>Мощность кВА-630, количество трансформаторов - 2 шт.</t>
  </si>
  <si>
    <t>Б7-03</t>
  </si>
  <si>
    <t>Расчистка кустарников и мелколесья, вырубка деревьев  и корчевка пней с диаметром ствола до 11 см. 12 см и более</t>
  </si>
  <si>
    <t>Л9-01</t>
  </si>
  <si>
    <t>Устройство лежневых дорог</t>
  </si>
  <si>
    <t>П6-08</t>
  </si>
  <si>
    <t>Затраты по УНЦ от 11  до 20,9 млн.руб.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</si>
  <si>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</si>
  <si>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</si>
  <si>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</si>
  <si>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</si>
  <si>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</si>
  <si>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</si>
  <si>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</si>
  <si>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</si>
  <si>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</si>
  <si>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</si>
  <si>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</si>
  <si>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</si>
  <si>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</si>
  <si>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</si>
  <si>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</si>
  <si>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</si>
  <si>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</si>
  <si>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25.11.2024 08:25:49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</si>
</sst>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vertAlign val="subscript"/>
      <sz val="11"/>
      <name val="Times New Roman"/>
      <family val="1"/>
      <charset val="204"/>
    </font>
    <font>
      <b/>
      <i/>
      <vertAlign val="superscript"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i/>
      <sz val="11"/>
      <name val="Symbol"/>
      <family val="1"/>
      <charset val="2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18" fillId="0" borderId="0"/>
  </cellStyleXfs>
  <cellXfs count="186">
    <xf numFmtId="0" fontId="0" fillId="0" borderId="0" xfId="0"/>
    <xf numFmtId="164" fontId="0" fillId="2" borderId="1" xfId="0" applyNumberFormat="1" applyFill="1" applyBorder="1"/>
    <xf numFmtId="0" fontId="0" fillId="2" borderId="1" xfId="0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0" fillId="3" borderId="0" xfId="0" applyFill="1" applyAlignment="1"/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/>
    <xf numFmtId="164" fontId="2" fillId="4" borderId="1" xfId="0" applyNumberFormat="1" applyFont="1" applyFill="1" applyBorder="1"/>
    <xf numFmtId="0" fontId="0" fillId="4" borderId="0" xfId="0" applyFill="1"/>
    <xf numFmtId="0" fontId="0" fillId="2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164" fontId="4" fillId="0" borderId="3" xfId="0" applyNumberFormat="1" applyFont="1" applyFill="1" applyBorder="1"/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164" fontId="5" fillId="0" borderId="3" xfId="0" applyNumberFormat="1" applyFont="1" applyFill="1" applyBorder="1"/>
    <xf numFmtId="164" fontId="0" fillId="0" borderId="0" xfId="0" applyNumberFormat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7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165" fontId="7" fillId="0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right" wrapText="1"/>
    </xf>
    <xf numFmtId="0" fontId="14" fillId="0" borderId="0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right"/>
    </xf>
    <xf numFmtId="3" fontId="14" fillId="0" borderId="0" xfId="0" applyNumberFormat="1" applyFont="1" applyFill="1"/>
    <xf numFmtId="165" fontId="14" fillId="0" borderId="0" xfId="0" applyNumberFormat="1" applyFont="1" applyFill="1"/>
    <xf numFmtId="3" fontId="14" fillId="0" borderId="0" xfId="0" applyNumberFormat="1" applyFont="1" applyFill="1" applyAlignment="1">
      <alignment horizontal="right"/>
    </xf>
    <xf numFmtId="4" fontId="14" fillId="0" borderId="0" xfId="0" applyNumberFormat="1" applyFont="1" applyFill="1"/>
    <xf numFmtId="166" fontId="14" fillId="0" borderId="0" xfId="0" applyNumberFormat="1" applyFont="1" applyFill="1"/>
    <xf numFmtId="0" fontId="16" fillId="0" borderId="0" xfId="0" applyFont="1" applyFill="1" applyAlignment="1">
      <alignment horizontal="center" vertical="center"/>
    </xf>
    <xf numFmtId="0" fontId="20" fillId="0" borderId="0" xfId="0" applyFont="1" applyFill="1"/>
    <xf numFmtId="3" fontId="20" fillId="0" borderId="0" xfId="0" applyNumberFormat="1" applyFont="1" applyFill="1"/>
    <xf numFmtId="165" fontId="20" fillId="0" borderId="0" xfId="0" applyNumberFormat="1" applyFont="1" applyFill="1"/>
    <xf numFmtId="3" fontId="20" fillId="0" borderId="0" xfId="0" applyNumberFormat="1" applyFont="1" applyFill="1" applyAlignment="1">
      <alignment horizontal="right"/>
    </xf>
    <xf numFmtId="0" fontId="21" fillId="0" borderId="0" xfId="0" applyFont="1" applyFill="1"/>
    <xf numFmtId="3" fontId="7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right" vertical="center"/>
    </xf>
    <xf numFmtId="0" fontId="14" fillId="0" borderId="7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/>
    <xf numFmtId="49" fontId="7" fillId="0" borderId="3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wrapText="1"/>
    </xf>
    <xf numFmtId="49" fontId="19" fillId="0" borderId="3" xfId="1" applyNumberFormat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left" vertical="center" wrapText="1"/>
    </xf>
    <xf numFmtId="0" fontId="19" fillId="0" borderId="4" xfId="3" applyFont="1" applyFill="1" applyBorder="1" applyAlignment="1">
      <alignment horizontal="center" vertical="center" wrapText="1"/>
    </xf>
    <xf numFmtId="164" fontId="19" fillId="0" borderId="4" xfId="1" applyNumberFormat="1" applyFont="1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4" fillId="0" borderId="4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165" fontId="9" fillId="0" borderId="8" xfId="0" applyNumberFormat="1" applyFont="1" applyFill="1" applyBorder="1" applyAlignment="1">
      <alignment horizontal="center" vertical="center" wrapText="1"/>
    </xf>
    <xf numFmtId="165" fontId="9" fillId="0" borderId="10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" fillId="0" borderId="1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</cellXfs>
  <cellStyles count="4">
    <cellStyle name="Обычный" xfId="0" builtinId="0"/>
    <cellStyle name="Обычный 3" xfId="3" xr:uid="{00000000-0005-0000-0000-000001000000}"/>
    <cellStyle name="Обычный 7" xfId="1" xr:uid="{00000000-0005-0000-0000-000002000000}"/>
    <cellStyle name="Обычный 7 2" xfId="2" xr:uid="{00000000-0005-0000-0000-000003000000}"/>
  </cellStyles>
  <dxfs count="0"/>
  <tableStyles count="0" defaultTableStyle="TableStyleMedium2" defaultPivotStyle="PivotStyleMedium9"/>
  <colors>
    <mruColors>
      <color rgb="FFBFFDFA"/>
      <color rgb="FFFFFFE5"/>
      <color rgb="FF9AFAFC"/>
      <color rgb="FF89E2F7"/>
      <color rgb="FFFFFF99"/>
      <color rgb="FFFF0066"/>
      <color rgb="FFFFD9FF"/>
      <color rgb="FF93FBAE"/>
      <color rgb="FFE7FF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8A9072A5-31F0-4948-AF79-FF59B012E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view="pageBreakPreview" zoomScale="80" zoomScaleNormal="100" zoomScaleSheetLayoutView="80" workbookViewId="0">
      <selection activeCell="F10" sqref="F10"/>
    </sheetView>
  </sheetViews>
  <sheetFormatPr defaultRowHeight="15" x14ac:dyDescent="0.25"/>
  <cols>
    <col min="1" max="1" width="5.85546875" customWidth="1"/>
    <col min="2" max="2" width="40" customWidth="1"/>
    <col min="3" max="3" width="9.7109375" customWidth="1"/>
    <col min="4" max="4" width="9.28515625" customWidth="1"/>
    <col min="5" max="6" width="12.7109375" customWidth="1"/>
    <col min="7" max="7" width="12" customWidth="1"/>
    <col min="8" max="8" width="11.5703125" customWidth="1"/>
    <col min="9" max="10" width="12.7109375" customWidth="1"/>
    <col min="11" max="11" width="15.42578125" customWidth="1"/>
    <col min="12" max="12" width="16.42578125" customWidth="1"/>
  </cols>
  <sheetData>
    <row r="1" spans="1:12" ht="49.5" customHeight="1" x14ac:dyDescent="0.25">
      <c r="A1" s="114" t="s">
        <v>18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22.5" customHeight="1" x14ac:dyDescent="0.25">
      <c r="A2" s="114" t="s">
        <v>31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22.5" customHeight="1" x14ac:dyDescent="0.25">
      <c r="A3" s="20"/>
      <c r="B3" s="20"/>
      <c r="C3" s="20"/>
      <c r="D3" s="20"/>
      <c r="E3" s="114" t="s">
        <v>19</v>
      </c>
      <c r="F3" s="115"/>
      <c r="G3" s="115"/>
      <c r="H3" s="115"/>
      <c r="I3" s="115"/>
      <c r="J3" s="20"/>
      <c r="K3" s="21"/>
      <c r="L3" s="20"/>
    </row>
    <row r="4" spans="1:12" ht="22.5" customHeight="1" x14ac:dyDescent="0.25">
      <c r="A4" s="15"/>
      <c r="B4" s="16"/>
      <c r="C4" s="16"/>
      <c r="D4" s="16"/>
      <c r="E4" s="16"/>
      <c r="F4" s="16"/>
      <c r="G4" s="16" t="s">
        <v>30</v>
      </c>
      <c r="H4" s="16"/>
      <c r="I4" s="16"/>
      <c r="J4" s="16"/>
      <c r="K4" s="16"/>
      <c r="L4" s="17" t="s">
        <v>10</v>
      </c>
    </row>
    <row r="5" spans="1:12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ht="88.5" customHeight="1" x14ac:dyDescent="0.25">
      <c r="A6" s="18" t="s">
        <v>0</v>
      </c>
      <c r="B6" s="18" t="s">
        <v>1</v>
      </c>
      <c r="C6" s="18" t="s">
        <v>7</v>
      </c>
      <c r="D6" s="18" t="s">
        <v>14</v>
      </c>
      <c r="E6" s="18" t="s">
        <v>2</v>
      </c>
      <c r="F6" s="18" t="s">
        <v>15</v>
      </c>
      <c r="G6" s="18" t="s">
        <v>3</v>
      </c>
      <c r="H6" s="18" t="s">
        <v>4</v>
      </c>
      <c r="I6" s="18" t="s">
        <v>16</v>
      </c>
      <c r="J6" s="18" t="s">
        <v>17</v>
      </c>
      <c r="K6" s="18" t="s">
        <v>27</v>
      </c>
      <c r="L6" s="18" t="s">
        <v>26</v>
      </c>
    </row>
    <row r="7" spans="1:12" x14ac:dyDescent="0.25">
      <c r="A7" s="105">
        <v>1</v>
      </c>
      <c r="B7" s="107" t="s">
        <v>22</v>
      </c>
      <c r="C7" s="109">
        <v>5.12</v>
      </c>
      <c r="D7" s="111">
        <v>35</v>
      </c>
      <c r="E7" s="27" t="s">
        <v>20</v>
      </c>
      <c r="F7" s="22">
        <v>3</v>
      </c>
      <c r="G7" s="22">
        <f>F7/5*C7</f>
        <v>3.0720000000000001</v>
      </c>
      <c r="H7" s="103">
        <f t="shared" ref="H7" si="0">1.063*1.044*1.046</f>
        <v>1.1608215120000001</v>
      </c>
      <c r="I7" s="103">
        <f>SUM(G7:G8)*H7</f>
        <v>48.854798482636809</v>
      </c>
      <c r="J7" s="103">
        <f>SUM(G7:G8)*H7*1.18</f>
        <v>57.648662209511429</v>
      </c>
      <c r="K7" s="103">
        <f>I7*1.044</f>
        <v>51.004409615872831</v>
      </c>
      <c r="L7" s="103">
        <f>J7*1.044/1.18*1.2</f>
        <v>61.205291539047394</v>
      </c>
    </row>
    <row r="8" spans="1:12" ht="30" customHeight="1" x14ac:dyDescent="0.25">
      <c r="A8" s="117"/>
      <c r="B8" s="118"/>
      <c r="C8" s="119"/>
      <c r="D8" s="120"/>
      <c r="E8" s="27" t="s">
        <v>21</v>
      </c>
      <c r="F8" s="22">
        <v>7.62</v>
      </c>
      <c r="G8" s="22">
        <f>F8*C7</f>
        <v>39.014400000000002</v>
      </c>
      <c r="H8" s="104"/>
      <c r="I8" s="104"/>
      <c r="J8" s="104"/>
      <c r="K8" s="104"/>
      <c r="L8" s="104"/>
    </row>
    <row r="9" spans="1:12" x14ac:dyDescent="0.25">
      <c r="A9" s="105">
        <v>2</v>
      </c>
      <c r="B9" s="107" t="s">
        <v>23</v>
      </c>
      <c r="C9" s="109">
        <v>12.57</v>
      </c>
      <c r="D9" s="111">
        <v>110</v>
      </c>
      <c r="E9" s="28" t="s">
        <v>25</v>
      </c>
      <c r="F9" s="22">
        <v>21</v>
      </c>
      <c r="G9" s="22">
        <f>F9/30*C9</f>
        <v>8.7989999999999995</v>
      </c>
      <c r="H9" s="103">
        <f t="shared" ref="H9" si="1">1.063*1.044*1.046</f>
        <v>1.1608215120000001</v>
      </c>
      <c r="I9" s="103">
        <f>SUM(G9:G10)*H9</f>
        <v>146.29464374495186</v>
      </c>
      <c r="J9" s="103">
        <f>SUM(G9:G10)*H9*1.18</f>
        <v>172.62767961904319</v>
      </c>
      <c r="K9" s="103">
        <f>I9*1.044</f>
        <v>152.73160806972973</v>
      </c>
      <c r="L9" s="103">
        <f>J9*1.044/1.18*1.2</f>
        <v>183.27792968367567</v>
      </c>
    </row>
    <row r="10" spans="1:12" ht="24" customHeight="1" x14ac:dyDescent="0.25">
      <c r="A10" s="106"/>
      <c r="B10" s="108"/>
      <c r="C10" s="110"/>
      <c r="D10" s="112"/>
      <c r="E10" s="28" t="s">
        <v>24</v>
      </c>
      <c r="F10" s="22">
        <v>9.3260000000000005</v>
      </c>
      <c r="G10" s="22">
        <f>F10*C9</f>
        <v>117.22782000000001</v>
      </c>
      <c r="H10" s="113"/>
      <c r="I10" s="104"/>
      <c r="J10" s="104"/>
      <c r="K10" s="104"/>
      <c r="L10" s="104"/>
    </row>
    <row r="11" spans="1:12" ht="15.75" x14ac:dyDescent="0.25">
      <c r="A11" s="23"/>
      <c r="B11" s="23"/>
      <c r="C11" s="23"/>
      <c r="D11" s="23"/>
      <c r="E11" s="23"/>
      <c r="F11" s="23"/>
      <c r="G11" s="23"/>
      <c r="H11" s="24" t="s">
        <v>8</v>
      </c>
      <c r="I11" s="25">
        <f>I7+I9</f>
        <v>195.14944222758868</v>
      </c>
      <c r="J11" s="25">
        <f t="shared" ref="J11:L11" si="2">J7+J9</f>
        <v>230.27634182855462</v>
      </c>
      <c r="K11" s="25">
        <f t="shared" si="2"/>
        <v>203.73601768560258</v>
      </c>
      <c r="L11" s="25">
        <f t="shared" si="2"/>
        <v>244.48322122272305</v>
      </c>
    </row>
    <row r="12" spans="1:12" ht="36.75" hidden="1" customHeight="1" x14ac:dyDescent="0.25">
      <c r="A12" s="19" t="s">
        <v>28</v>
      </c>
      <c r="B12" s="19"/>
      <c r="C12" s="19"/>
      <c r="D12" s="19"/>
      <c r="E12" s="19"/>
      <c r="F12" s="19"/>
      <c r="G12" s="19"/>
      <c r="H12" s="19"/>
      <c r="I12" s="19"/>
      <c r="J12" s="19" t="s">
        <v>29</v>
      </c>
      <c r="K12" s="19"/>
    </row>
    <row r="14" spans="1:12" x14ac:dyDescent="0.25">
      <c r="J14" s="26"/>
      <c r="L14" s="26"/>
    </row>
    <row r="15" spans="1:12" x14ac:dyDescent="0.25">
      <c r="K15" s="26"/>
    </row>
  </sheetData>
  <mergeCells count="22">
    <mergeCell ref="A1:L1"/>
    <mergeCell ref="A2:L2"/>
    <mergeCell ref="E3:I3"/>
    <mergeCell ref="A5:L5"/>
    <mergeCell ref="A7:A8"/>
    <mergeCell ref="B7:B8"/>
    <mergeCell ref="C7:C8"/>
    <mergeCell ref="L7:L8"/>
    <mergeCell ref="D7:D8"/>
    <mergeCell ref="H7:H8"/>
    <mergeCell ref="I7:I8"/>
    <mergeCell ref="J7:J8"/>
    <mergeCell ref="K7:K8"/>
    <mergeCell ref="I9:I10"/>
    <mergeCell ref="J9:J10"/>
    <mergeCell ref="K9:K10"/>
    <mergeCell ref="L9:L10"/>
    <mergeCell ref="A9:A10"/>
    <mergeCell ref="B9:B10"/>
    <mergeCell ref="C9:C10"/>
    <mergeCell ref="D9:D10"/>
    <mergeCell ref="H9:H10"/>
  </mergeCells>
  <pageMargins left="0.31496062992125984" right="0.31496062992125984" top="0.35433070866141736" bottom="0.35433070866141736" header="0" footer="0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>
      <selection activeCell="F35" sqref="F35"/>
    </sheetView>
  </sheetViews>
  <sheetFormatPr defaultRowHeight="15" x14ac:dyDescent="0.25"/>
  <cols>
    <col min="3" max="3" width="30" customWidth="1"/>
    <col min="4" max="4" width="10.42578125" customWidth="1"/>
    <col min="5" max="5" width="11.28515625" customWidth="1"/>
    <col min="6" max="6" width="13.28515625" customWidth="1"/>
    <col min="7" max="7" width="27.42578125" customWidth="1"/>
    <col min="8" max="8" width="19.5703125" customWidth="1"/>
    <col min="9" max="9" width="22.5703125" customWidth="1"/>
    <col min="10" max="10" width="14.85546875" customWidth="1"/>
  </cols>
  <sheetData>
    <row r="1" spans="1:11" x14ac:dyDescent="0.25">
      <c r="A1" s="5"/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8"/>
    </row>
    <row r="2" spans="1:11" x14ac:dyDescent="0.25">
      <c r="A2" s="5"/>
      <c r="B2" s="122"/>
      <c r="C2" s="122"/>
      <c r="D2" s="122"/>
      <c r="E2" s="122"/>
      <c r="F2" s="122"/>
      <c r="G2" s="122"/>
      <c r="H2" s="122"/>
      <c r="I2" s="122"/>
      <c r="J2" s="122"/>
      <c r="K2" s="9"/>
    </row>
    <row r="3" spans="1:11" ht="15.75" thickBot="1" x14ac:dyDescent="0.3">
      <c r="A3" s="5"/>
      <c r="B3" s="7" t="s">
        <v>0</v>
      </c>
      <c r="C3" s="7" t="s">
        <v>1</v>
      </c>
      <c r="D3" s="7" t="s">
        <v>7</v>
      </c>
      <c r="E3" s="7" t="s">
        <v>2</v>
      </c>
      <c r="F3" s="7" t="s">
        <v>9</v>
      </c>
      <c r="G3" s="7" t="s">
        <v>3</v>
      </c>
      <c r="H3" s="7" t="s">
        <v>4</v>
      </c>
      <c r="I3" s="7" t="s">
        <v>5</v>
      </c>
      <c r="J3" s="7" t="s">
        <v>6</v>
      </c>
      <c r="K3" s="5"/>
    </row>
    <row r="4" spans="1:11" ht="15.75" thickBot="1" x14ac:dyDescent="0.3">
      <c r="A4" s="5"/>
      <c r="B4" s="10">
        <v>1</v>
      </c>
      <c r="C4" s="2"/>
      <c r="D4" s="1"/>
      <c r="E4" s="2"/>
      <c r="F4" s="1"/>
      <c r="G4" s="11">
        <f>D4*F4</f>
        <v>0</v>
      </c>
      <c r="H4" s="2">
        <v>1.0756756756756756</v>
      </c>
      <c r="I4" s="11">
        <f>G4*H4</f>
        <v>0</v>
      </c>
      <c r="J4" s="11">
        <f>I4*1.18</f>
        <v>0</v>
      </c>
      <c r="K4" s="5"/>
    </row>
    <row r="5" spans="1:11" ht="15.75" thickBot="1" x14ac:dyDescent="0.3">
      <c r="A5" s="5"/>
      <c r="B5" s="10">
        <f>B4+1</f>
        <v>2</v>
      </c>
      <c r="C5" s="2"/>
      <c r="D5" s="1"/>
      <c r="E5" s="2"/>
      <c r="F5" s="1"/>
      <c r="G5" s="11">
        <f t="shared" ref="G5:G11" si="0">D5*F5</f>
        <v>0</v>
      </c>
      <c r="H5" s="2">
        <v>1.0756756756756756</v>
      </c>
      <c r="I5" s="11">
        <f t="shared" ref="I5:I11" si="1">G5*H5</f>
        <v>0</v>
      </c>
      <c r="J5" s="11">
        <f t="shared" ref="J5:J11" si="2">I5*1.18</f>
        <v>0</v>
      </c>
      <c r="K5" s="5"/>
    </row>
    <row r="6" spans="1:11" ht="15.75" thickBot="1" x14ac:dyDescent="0.3">
      <c r="A6" s="5"/>
      <c r="B6" s="10">
        <f t="shared" ref="B6:B11" si="3">B5+1</f>
        <v>3</v>
      </c>
      <c r="C6" s="2"/>
      <c r="D6" s="1"/>
      <c r="E6" s="2"/>
      <c r="F6" s="1"/>
      <c r="G6" s="11">
        <f t="shared" si="0"/>
        <v>0</v>
      </c>
      <c r="H6" s="2">
        <v>1.0756756756756756</v>
      </c>
      <c r="I6" s="11">
        <f t="shared" si="1"/>
        <v>0</v>
      </c>
      <c r="J6" s="11">
        <f t="shared" si="2"/>
        <v>0</v>
      </c>
      <c r="K6" s="5"/>
    </row>
    <row r="7" spans="1:11" ht="15.75" thickBot="1" x14ac:dyDescent="0.3">
      <c r="A7" s="5"/>
      <c r="B7" s="10">
        <f t="shared" si="3"/>
        <v>4</v>
      </c>
      <c r="C7" s="2"/>
      <c r="D7" s="1"/>
      <c r="E7" s="2"/>
      <c r="F7" s="1"/>
      <c r="G7" s="11">
        <f t="shared" si="0"/>
        <v>0</v>
      </c>
      <c r="H7" s="2">
        <v>1.0756756756756756</v>
      </c>
      <c r="I7" s="11">
        <f t="shared" si="1"/>
        <v>0</v>
      </c>
      <c r="J7" s="11">
        <f t="shared" si="2"/>
        <v>0</v>
      </c>
      <c r="K7" s="5"/>
    </row>
    <row r="8" spans="1:11" ht="15.75" thickBot="1" x14ac:dyDescent="0.3">
      <c r="A8" s="5"/>
      <c r="B8" s="10">
        <f t="shared" si="3"/>
        <v>5</v>
      </c>
      <c r="C8" s="2"/>
      <c r="D8" s="1"/>
      <c r="E8" s="2"/>
      <c r="F8" s="1"/>
      <c r="G8" s="11">
        <f t="shared" si="0"/>
        <v>0</v>
      </c>
      <c r="H8" s="2">
        <v>1.0756756756756756</v>
      </c>
      <c r="I8" s="11">
        <f t="shared" si="1"/>
        <v>0</v>
      </c>
      <c r="J8" s="11">
        <f t="shared" si="2"/>
        <v>0</v>
      </c>
      <c r="K8" s="5"/>
    </row>
    <row r="9" spans="1:11" ht="15.75" thickBot="1" x14ac:dyDescent="0.3">
      <c r="A9" s="5"/>
      <c r="B9" s="10">
        <f t="shared" si="3"/>
        <v>6</v>
      </c>
      <c r="C9" s="2"/>
      <c r="D9" s="1"/>
      <c r="E9" s="2"/>
      <c r="F9" s="1"/>
      <c r="G9" s="11">
        <f t="shared" si="0"/>
        <v>0</v>
      </c>
      <c r="H9" s="2">
        <v>1.0756756756756756</v>
      </c>
      <c r="I9" s="11">
        <f t="shared" si="1"/>
        <v>0</v>
      </c>
      <c r="J9" s="11">
        <f t="shared" si="2"/>
        <v>0</v>
      </c>
      <c r="K9" s="5"/>
    </row>
    <row r="10" spans="1:11" ht="15.75" thickBot="1" x14ac:dyDescent="0.3">
      <c r="A10" s="5"/>
      <c r="B10" s="10">
        <f t="shared" si="3"/>
        <v>7</v>
      </c>
      <c r="C10" s="2"/>
      <c r="D10" s="1"/>
      <c r="E10" s="2"/>
      <c r="F10" s="1"/>
      <c r="G10" s="11">
        <f t="shared" si="0"/>
        <v>0</v>
      </c>
      <c r="H10" s="2">
        <v>1.0756756756756756</v>
      </c>
      <c r="I10" s="11">
        <f t="shared" si="1"/>
        <v>0</v>
      </c>
      <c r="J10" s="11">
        <f t="shared" si="2"/>
        <v>0</v>
      </c>
      <c r="K10" s="5"/>
    </row>
    <row r="11" spans="1:11" ht="15.75" thickBot="1" x14ac:dyDescent="0.3">
      <c r="A11" s="5"/>
      <c r="B11" s="10">
        <f t="shared" si="3"/>
        <v>8</v>
      </c>
      <c r="C11" s="2"/>
      <c r="D11" s="1"/>
      <c r="E11" s="2"/>
      <c r="F11" s="1"/>
      <c r="G11" s="11">
        <f t="shared" si="0"/>
        <v>0</v>
      </c>
      <c r="H11" s="2">
        <v>1.0756756756756756</v>
      </c>
      <c r="I11" s="11">
        <f t="shared" si="1"/>
        <v>0</v>
      </c>
      <c r="J11" s="11">
        <f t="shared" si="2"/>
        <v>0</v>
      </c>
      <c r="K11" s="5"/>
    </row>
    <row r="12" spans="1:11" ht="16.5" thickBot="1" x14ac:dyDescent="0.3">
      <c r="A12" s="5"/>
      <c r="B12" s="123"/>
      <c r="C12" s="123"/>
      <c r="D12" s="123"/>
      <c r="E12" s="123"/>
      <c r="F12" s="123"/>
      <c r="G12" s="123"/>
      <c r="H12" s="123"/>
      <c r="I12" s="6" t="s">
        <v>8</v>
      </c>
      <c r="J12" s="12">
        <f>J4+J5+J6+J7+J8+J9+J10+J11</f>
        <v>0</v>
      </c>
      <c r="K12" s="7" t="s">
        <v>10</v>
      </c>
    </row>
    <row r="13" spans="1:1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5" spans="1:11" x14ac:dyDescent="0.25">
      <c r="A15" s="14"/>
      <c r="B15" s="4" t="s">
        <v>11</v>
      </c>
    </row>
    <row r="17" spans="1:2" x14ac:dyDescent="0.25">
      <c r="A17" s="13"/>
      <c r="B17" s="3" t="s">
        <v>12</v>
      </c>
    </row>
  </sheetData>
  <mergeCells count="3">
    <mergeCell ref="B1:J1"/>
    <mergeCell ref="B2:J2"/>
    <mergeCell ref="B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39"/>
  <sheetViews>
    <sheetView view="pageBreakPreview" zoomScale="60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138" sqref="H138"/>
    </sheetView>
  </sheetViews>
  <sheetFormatPr defaultRowHeight="18.75" x14ac:dyDescent="0.3"/>
  <cols>
    <col min="1" max="1" width="7" style="31" customWidth="1"/>
    <col min="2" max="2" width="34" style="48" customWidth="1"/>
    <col min="3" max="3" width="14" style="31" customWidth="1"/>
    <col min="4" max="4" width="11.42578125" style="31" customWidth="1"/>
    <col min="5" max="5" width="13" style="31" customWidth="1"/>
    <col min="6" max="6" width="11.7109375" style="31" customWidth="1"/>
    <col min="7" max="7" width="27.42578125" style="31" customWidth="1"/>
    <col min="8" max="8" width="14.5703125" style="31" customWidth="1"/>
    <col min="9" max="9" width="13.7109375" style="31" customWidth="1"/>
    <col min="10" max="10" width="11.5703125" style="31" customWidth="1"/>
    <col min="11" max="11" width="10.85546875" style="31" customWidth="1"/>
    <col min="12" max="12" width="13.5703125" style="31" customWidth="1"/>
    <col min="13" max="13" width="28.140625" style="31" customWidth="1"/>
    <col min="14" max="14" width="12.5703125" style="31" customWidth="1"/>
    <col min="15" max="15" width="19.7109375" style="31" customWidth="1"/>
    <col min="16" max="16" width="28.7109375" style="31" customWidth="1"/>
    <col min="17" max="17" width="21.5703125" style="31" customWidth="1"/>
    <col min="18" max="21" width="6.85546875" style="31" customWidth="1"/>
    <col min="22" max="22" width="8" style="31" customWidth="1"/>
    <col min="23" max="23" width="12.85546875" style="51" customWidth="1"/>
    <col min="24" max="24" width="14.42578125" style="51" bestFit="1" customWidth="1"/>
    <col min="25" max="25" width="13.140625" style="51" customWidth="1"/>
    <col min="26" max="29" width="14.140625" style="51" customWidth="1"/>
    <col min="30" max="30" width="23.28515625" style="51" hidden="1" customWidth="1"/>
    <col min="31" max="31" width="19" style="51" hidden="1" customWidth="1"/>
    <col min="32" max="34" width="8.85546875" style="52" hidden="1" customWidth="1"/>
    <col min="35" max="35" width="11.85546875" style="51" hidden="1" customWidth="1"/>
    <col min="36" max="36" width="13.140625" style="51" hidden="1" customWidth="1"/>
    <col min="37" max="37" width="15.28515625" style="51" hidden="1" customWidth="1"/>
    <col min="38" max="38" width="18" style="53" hidden="1" customWidth="1"/>
    <col min="39" max="40" width="0" style="31" hidden="1" customWidth="1"/>
    <col min="41" max="41" width="16.140625" style="34" customWidth="1"/>
    <col min="42" max="42" width="16" style="31" customWidth="1"/>
    <col min="43" max="16384" width="9.140625" style="31"/>
  </cols>
  <sheetData>
    <row r="1" spans="1:41" s="34" customFormat="1" ht="66.75" customHeight="1" x14ac:dyDescent="0.3">
      <c r="A1" s="159" t="s">
        <v>248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</row>
    <row r="2" spans="1:41" s="34" customFormat="1" x14ac:dyDescent="0.3">
      <c r="A2" s="159" t="s">
        <v>247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</row>
    <row r="3" spans="1:41" s="34" customFormat="1" x14ac:dyDescent="0.3">
      <c r="A3" s="159" t="s">
        <v>70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</row>
    <row r="4" spans="1:41" ht="28.5" customHeight="1" x14ac:dyDescent="0.3">
      <c r="A4" s="35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37"/>
      <c r="N4" s="37"/>
      <c r="O4" s="39"/>
      <c r="P4" s="39"/>
      <c r="Q4" s="39"/>
      <c r="R4" s="40"/>
      <c r="S4" s="40"/>
      <c r="T4" s="40"/>
      <c r="U4" s="41"/>
      <c r="V4" s="40"/>
      <c r="W4" s="40"/>
      <c r="X4" s="165"/>
      <c r="Y4" s="165"/>
      <c r="Z4" s="165"/>
      <c r="AA4" s="62"/>
      <c r="AB4" s="62"/>
      <c r="AC4" s="62"/>
      <c r="AD4" s="62" t="s">
        <v>65</v>
      </c>
      <c r="AE4" s="41"/>
      <c r="AF4" s="42" t="s">
        <v>66</v>
      </c>
      <c r="AG4" s="42"/>
      <c r="AH4" s="42"/>
      <c r="AI4" s="166"/>
      <c r="AJ4" s="166"/>
      <c r="AK4" s="166"/>
      <c r="AL4" s="43"/>
    </row>
    <row r="5" spans="1:41" ht="31.5" customHeight="1" x14ac:dyDescent="0.3">
      <c r="A5" s="154" t="s">
        <v>0</v>
      </c>
      <c r="B5" s="154" t="s">
        <v>32</v>
      </c>
      <c r="C5" s="154" t="s">
        <v>14</v>
      </c>
      <c r="D5" s="154" t="s">
        <v>2</v>
      </c>
      <c r="E5" s="154" t="s">
        <v>49</v>
      </c>
      <c r="F5" s="154" t="s">
        <v>48</v>
      </c>
      <c r="G5" s="154" t="s">
        <v>47</v>
      </c>
      <c r="H5" s="154" t="s">
        <v>50</v>
      </c>
      <c r="I5" s="154" t="s">
        <v>51</v>
      </c>
      <c r="J5" s="157" t="s">
        <v>34</v>
      </c>
      <c r="K5" s="157"/>
      <c r="L5" s="154" t="s">
        <v>60</v>
      </c>
      <c r="M5" s="133" t="s">
        <v>103</v>
      </c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7" t="s">
        <v>61</v>
      </c>
      <c r="AE5" s="138"/>
      <c r="AF5" s="138"/>
      <c r="AG5" s="138"/>
      <c r="AH5" s="138"/>
      <c r="AI5" s="138"/>
      <c r="AJ5" s="138"/>
      <c r="AK5" s="139"/>
      <c r="AL5" s="162" t="s">
        <v>59</v>
      </c>
    </row>
    <row r="6" spans="1:41" ht="135" customHeight="1" x14ac:dyDescent="0.3">
      <c r="A6" s="155"/>
      <c r="B6" s="155"/>
      <c r="C6" s="155"/>
      <c r="D6" s="155"/>
      <c r="E6" s="155"/>
      <c r="F6" s="155"/>
      <c r="G6" s="155"/>
      <c r="H6" s="155"/>
      <c r="I6" s="155"/>
      <c r="J6" s="157"/>
      <c r="K6" s="157"/>
      <c r="L6" s="155"/>
      <c r="M6" s="154" t="s">
        <v>53</v>
      </c>
      <c r="N6" s="154" t="s">
        <v>52</v>
      </c>
      <c r="O6" s="154" t="s">
        <v>54</v>
      </c>
      <c r="P6" s="154" t="s">
        <v>16</v>
      </c>
      <c r="Q6" s="160" t="s">
        <v>55</v>
      </c>
      <c r="R6" s="135"/>
      <c r="S6" s="135"/>
      <c r="T6" s="135"/>
      <c r="U6" s="135"/>
      <c r="V6" s="136"/>
      <c r="W6" s="137" t="s">
        <v>57</v>
      </c>
      <c r="X6" s="138"/>
      <c r="Y6" s="138"/>
      <c r="Z6" s="138"/>
      <c r="AA6" s="138"/>
      <c r="AB6" s="138"/>
      <c r="AC6" s="139"/>
      <c r="AD6" s="162" t="s">
        <v>56</v>
      </c>
      <c r="AE6" s="162" t="s">
        <v>58</v>
      </c>
      <c r="AF6" s="167" t="s">
        <v>64</v>
      </c>
      <c r="AG6" s="168"/>
      <c r="AH6" s="169"/>
      <c r="AI6" s="158" t="s">
        <v>57</v>
      </c>
      <c r="AJ6" s="158"/>
      <c r="AK6" s="158"/>
      <c r="AL6" s="163"/>
      <c r="AN6" s="44"/>
    </row>
    <row r="7" spans="1:41" ht="24" customHeight="1" x14ac:dyDescent="0.3">
      <c r="A7" s="156"/>
      <c r="B7" s="156"/>
      <c r="C7" s="156"/>
      <c r="D7" s="156"/>
      <c r="E7" s="156"/>
      <c r="F7" s="156"/>
      <c r="G7" s="156"/>
      <c r="H7" s="156"/>
      <c r="I7" s="156"/>
      <c r="J7" s="33" t="s">
        <v>62</v>
      </c>
      <c r="K7" s="64" t="s">
        <v>63</v>
      </c>
      <c r="L7" s="156"/>
      <c r="M7" s="156"/>
      <c r="N7" s="156"/>
      <c r="O7" s="156"/>
      <c r="P7" s="156"/>
      <c r="Q7" s="161"/>
      <c r="R7" s="29">
        <v>2025</v>
      </c>
      <c r="S7" s="29">
        <v>2026</v>
      </c>
      <c r="T7" s="29">
        <v>2027</v>
      </c>
      <c r="U7" s="29">
        <v>2028</v>
      </c>
      <c r="V7" s="29">
        <v>2029</v>
      </c>
      <c r="W7" s="30">
        <v>2023</v>
      </c>
      <c r="X7" s="30">
        <v>2024</v>
      </c>
      <c r="Y7" s="30">
        <v>2025</v>
      </c>
      <c r="Z7" s="30">
        <v>2026</v>
      </c>
      <c r="AA7" s="30">
        <v>2027</v>
      </c>
      <c r="AB7" s="30">
        <v>2028</v>
      </c>
      <c r="AC7" s="30">
        <v>2029</v>
      </c>
      <c r="AD7" s="164"/>
      <c r="AE7" s="164"/>
      <c r="AF7" s="30">
        <v>2019</v>
      </c>
      <c r="AG7" s="30">
        <v>2020</v>
      </c>
      <c r="AH7" s="30">
        <v>2021</v>
      </c>
      <c r="AI7" s="30">
        <v>2019</v>
      </c>
      <c r="AJ7" s="30">
        <v>2020</v>
      </c>
      <c r="AK7" s="30">
        <v>2021</v>
      </c>
      <c r="AL7" s="164"/>
    </row>
    <row r="8" spans="1:41" s="48" customFormat="1" ht="24" customHeight="1" x14ac:dyDescent="0.25">
      <c r="A8" s="32">
        <v>1</v>
      </c>
      <c r="B8" s="32">
        <v>2</v>
      </c>
      <c r="C8" s="32">
        <v>3</v>
      </c>
      <c r="D8" s="32">
        <v>4</v>
      </c>
      <c r="E8" s="45">
        <v>5</v>
      </c>
      <c r="F8" s="32">
        <f>E8+1</f>
        <v>6</v>
      </c>
      <c r="G8" s="32">
        <f t="shared" ref="G8:AL8" si="0">F8+1</f>
        <v>7</v>
      </c>
      <c r="H8" s="32">
        <f t="shared" si="0"/>
        <v>8</v>
      </c>
      <c r="I8" s="32">
        <f t="shared" si="0"/>
        <v>9</v>
      </c>
      <c r="J8" s="32">
        <f t="shared" si="0"/>
        <v>10</v>
      </c>
      <c r="K8" s="32">
        <f t="shared" si="0"/>
        <v>11</v>
      </c>
      <c r="L8" s="32">
        <f t="shared" si="0"/>
        <v>12</v>
      </c>
      <c r="M8" s="32">
        <f t="shared" si="0"/>
        <v>13</v>
      </c>
      <c r="N8" s="32">
        <f t="shared" si="0"/>
        <v>14</v>
      </c>
      <c r="O8" s="32">
        <f t="shared" si="0"/>
        <v>15</v>
      </c>
      <c r="P8" s="32">
        <f t="shared" si="0"/>
        <v>16</v>
      </c>
      <c r="Q8" s="32">
        <f t="shared" si="0"/>
        <v>17</v>
      </c>
      <c r="R8" s="32">
        <v>20</v>
      </c>
      <c r="S8" s="32">
        <v>21</v>
      </c>
      <c r="T8" s="32">
        <v>22</v>
      </c>
      <c r="U8" s="32">
        <v>23</v>
      </c>
      <c r="V8" s="32">
        <v>24</v>
      </c>
      <c r="W8" s="46">
        <v>25</v>
      </c>
      <c r="X8" s="46">
        <v>26</v>
      </c>
      <c r="Y8" s="46">
        <v>27</v>
      </c>
      <c r="Z8" s="46">
        <v>28</v>
      </c>
      <c r="AA8" s="46">
        <v>29</v>
      </c>
      <c r="AB8" s="46">
        <v>30</v>
      </c>
      <c r="AC8" s="46">
        <f t="shared" si="0"/>
        <v>31</v>
      </c>
      <c r="AD8" s="46" t="e">
        <f>#REF!+1</f>
        <v>#REF!</v>
      </c>
      <c r="AE8" s="46" t="e">
        <f t="shared" si="0"/>
        <v>#REF!</v>
      </c>
      <c r="AF8" s="46" t="e">
        <f t="shared" si="0"/>
        <v>#REF!</v>
      </c>
      <c r="AG8" s="46" t="e">
        <f t="shared" si="0"/>
        <v>#REF!</v>
      </c>
      <c r="AH8" s="46">
        <v>49</v>
      </c>
      <c r="AI8" s="46">
        <v>50</v>
      </c>
      <c r="AJ8" s="46">
        <v>51</v>
      </c>
      <c r="AK8" s="46">
        <v>52</v>
      </c>
      <c r="AL8" s="47">
        <f t="shared" si="0"/>
        <v>53</v>
      </c>
      <c r="AO8" s="56"/>
    </row>
    <row r="9" spans="1:41" s="68" customFormat="1" ht="80.25" customHeight="1" x14ac:dyDescent="0.25">
      <c r="A9" s="146">
        <v>1</v>
      </c>
      <c r="B9" s="140" t="s">
        <v>219</v>
      </c>
      <c r="C9" s="143">
        <v>35</v>
      </c>
      <c r="D9" s="63" t="s">
        <v>220</v>
      </c>
      <c r="E9" s="63" t="s">
        <v>92</v>
      </c>
      <c r="F9" s="63">
        <v>6</v>
      </c>
      <c r="G9" s="32" t="s">
        <v>221</v>
      </c>
      <c r="H9" s="65">
        <v>17875.25</v>
      </c>
      <c r="I9" s="65">
        <f t="shared" ref="I9:I14" si="1">F9*H9</f>
        <v>107251.5</v>
      </c>
      <c r="J9" s="65" t="s">
        <v>176</v>
      </c>
      <c r="K9" s="66">
        <v>1.44</v>
      </c>
      <c r="L9" s="65">
        <f>I9*K9</f>
        <v>154442.16</v>
      </c>
      <c r="M9" s="127">
        <f>SUM(L9)</f>
        <v>154442.16</v>
      </c>
      <c r="N9" s="127">
        <f>M9*0.2</f>
        <v>30888.432000000001</v>
      </c>
      <c r="O9" s="127">
        <f>(M9+N9)</f>
        <v>185330.592</v>
      </c>
      <c r="P9" s="127">
        <f>O9</f>
        <v>185330.592</v>
      </c>
      <c r="Q9" s="127">
        <f>SUM(W9:AC10)</f>
        <v>185330.592</v>
      </c>
      <c r="R9" s="124">
        <v>1.048</v>
      </c>
      <c r="S9" s="124">
        <v>1.046</v>
      </c>
      <c r="T9" s="124">
        <v>1.046</v>
      </c>
      <c r="U9" s="124">
        <v>1.046</v>
      </c>
      <c r="V9" s="124">
        <v>1.046</v>
      </c>
      <c r="W9" s="127">
        <v>0</v>
      </c>
      <c r="X9" s="127">
        <f>P9</f>
        <v>185330.592</v>
      </c>
      <c r="Y9" s="127">
        <v>0</v>
      </c>
      <c r="Z9" s="127">
        <v>0</v>
      </c>
      <c r="AA9" s="127">
        <v>0</v>
      </c>
      <c r="AB9" s="127">
        <v>0</v>
      </c>
      <c r="AC9" s="127">
        <v>0</v>
      </c>
      <c r="AD9" s="65" t="s">
        <v>222</v>
      </c>
      <c r="AE9" s="65" t="s">
        <v>222</v>
      </c>
      <c r="AF9" s="65" t="s">
        <v>222</v>
      </c>
      <c r="AG9" s="65" t="s">
        <v>222</v>
      </c>
      <c r="AH9" s="65" t="s">
        <v>222</v>
      </c>
      <c r="AI9" s="65" t="s">
        <v>222</v>
      </c>
      <c r="AJ9" s="65" t="s">
        <v>222</v>
      </c>
      <c r="AK9" s="65" t="s">
        <v>222</v>
      </c>
      <c r="AL9" s="67" t="e">
        <f>#REF!-#REF!</f>
        <v>#REF!</v>
      </c>
      <c r="AO9" s="31"/>
    </row>
    <row r="10" spans="1:41" s="44" customFormat="1" ht="80.25" customHeight="1" x14ac:dyDescent="0.25">
      <c r="A10" s="147"/>
      <c r="B10" s="142"/>
      <c r="C10" s="145"/>
      <c r="D10" s="69" t="s">
        <v>223</v>
      </c>
      <c r="E10" s="69" t="s">
        <v>38</v>
      </c>
      <c r="F10" s="69">
        <v>1</v>
      </c>
      <c r="G10" s="70" t="s">
        <v>249</v>
      </c>
      <c r="H10" s="71">
        <v>21275.06</v>
      </c>
      <c r="I10" s="71">
        <f>H10*F10</f>
        <v>21275.06</v>
      </c>
      <c r="J10" s="71" t="s">
        <v>35</v>
      </c>
      <c r="K10" s="72" t="s">
        <v>35</v>
      </c>
      <c r="L10" s="71">
        <f>I10</f>
        <v>21275.06</v>
      </c>
      <c r="M10" s="129"/>
      <c r="N10" s="129"/>
      <c r="O10" s="129"/>
      <c r="P10" s="129"/>
      <c r="Q10" s="129"/>
      <c r="R10" s="126"/>
      <c r="S10" s="126"/>
      <c r="T10" s="126"/>
      <c r="U10" s="126"/>
      <c r="V10" s="126"/>
      <c r="W10" s="129"/>
      <c r="X10" s="129"/>
      <c r="Y10" s="129"/>
      <c r="Z10" s="129"/>
      <c r="AA10" s="129"/>
      <c r="AB10" s="129"/>
      <c r="AC10" s="129"/>
      <c r="AD10" s="71"/>
      <c r="AE10" s="71"/>
      <c r="AF10" s="71"/>
      <c r="AG10" s="71"/>
      <c r="AH10" s="71"/>
      <c r="AI10" s="71"/>
      <c r="AJ10" s="71"/>
      <c r="AK10" s="71"/>
      <c r="AL10" s="67"/>
      <c r="AO10" s="31"/>
    </row>
    <row r="11" spans="1:41" ht="78" customHeight="1" x14ac:dyDescent="0.25">
      <c r="A11" s="146">
        <v>2</v>
      </c>
      <c r="B11" s="134" t="s">
        <v>224</v>
      </c>
      <c r="C11" s="148">
        <v>35</v>
      </c>
      <c r="D11" s="63" t="s">
        <v>88</v>
      </c>
      <c r="E11" s="63" t="s">
        <v>92</v>
      </c>
      <c r="F11" s="63">
        <v>8</v>
      </c>
      <c r="G11" s="32" t="s">
        <v>225</v>
      </c>
      <c r="H11" s="65">
        <v>27469.919999999998</v>
      </c>
      <c r="I11" s="65">
        <f>F11*H11</f>
        <v>219759.35999999999</v>
      </c>
      <c r="J11" s="65" t="s">
        <v>176</v>
      </c>
      <c r="K11" s="66">
        <v>1.44</v>
      </c>
      <c r="L11" s="65">
        <f>I11*K11</f>
        <v>316453.47839999996</v>
      </c>
      <c r="M11" s="127">
        <f>SUM(L11:L12)</f>
        <v>332248.11839999998</v>
      </c>
      <c r="N11" s="127">
        <f>M11*0.2</f>
        <v>66449.623680000004</v>
      </c>
      <c r="O11" s="127">
        <f>(M11+N11)</f>
        <v>398697.74208</v>
      </c>
      <c r="P11" s="127">
        <f>O11</f>
        <v>398697.74208</v>
      </c>
      <c r="Q11" s="127">
        <f>SUM(W11:AC12)</f>
        <v>398697.74208</v>
      </c>
      <c r="R11" s="124">
        <v>1.048</v>
      </c>
      <c r="S11" s="124">
        <v>1.046</v>
      </c>
      <c r="T11" s="124">
        <v>1.046</v>
      </c>
      <c r="U11" s="124">
        <v>1.046</v>
      </c>
      <c r="V11" s="124">
        <v>1.046</v>
      </c>
      <c r="W11" s="127">
        <v>0</v>
      </c>
      <c r="X11" s="127">
        <f>O11</f>
        <v>398697.74208</v>
      </c>
      <c r="Y11" s="127">
        <v>0</v>
      </c>
      <c r="Z11" s="127">
        <v>0</v>
      </c>
      <c r="AA11" s="127">
        <v>0</v>
      </c>
      <c r="AB11" s="127">
        <v>0</v>
      </c>
      <c r="AC11" s="127">
        <v>0</v>
      </c>
      <c r="AD11" s="65" t="s">
        <v>222</v>
      </c>
      <c r="AE11" s="65" t="s">
        <v>222</v>
      </c>
      <c r="AF11" s="65" t="s">
        <v>222</v>
      </c>
      <c r="AG11" s="65" t="s">
        <v>222</v>
      </c>
      <c r="AH11" s="65" t="s">
        <v>222</v>
      </c>
      <c r="AI11" s="65" t="s">
        <v>222</v>
      </c>
      <c r="AJ11" s="65" t="s">
        <v>222</v>
      </c>
      <c r="AK11" s="65" t="s">
        <v>222</v>
      </c>
      <c r="AL11" s="67" t="e">
        <f>#REF!-#REF!</f>
        <v>#REF!</v>
      </c>
      <c r="AO11" s="31"/>
    </row>
    <row r="12" spans="1:41" ht="45.75" customHeight="1" x14ac:dyDescent="0.25">
      <c r="A12" s="147"/>
      <c r="B12" s="134"/>
      <c r="C12" s="148"/>
      <c r="D12" s="63" t="s">
        <v>226</v>
      </c>
      <c r="E12" s="63" t="s">
        <v>92</v>
      </c>
      <c r="F12" s="63">
        <v>8</v>
      </c>
      <c r="G12" s="32" t="s">
        <v>227</v>
      </c>
      <c r="H12" s="65">
        <v>1974.33</v>
      </c>
      <c r="I12" s="65">
        <f t="shared" si="1"/>
        <v>15794.64</v>
      </c>
      <c r="J12" s="65" t="s">
        <v>35</v>
      </c>
      <c r="K12" s="66" t="s">
        <v>35</v>
      </c>
      <c r="L12" s="65">
        <f>I12</f>
        <v>15794.64</v>
      </c>
      <c r="M12" s="129"/>
      <c r="N12" s="129"/>
      <c r="O12" s="129"/>
      <c r="P12" s="129"/>
      <c r="Q12" s="129"/>
      <c r="R12" s="126"/>
      <c r="S12" s="126"/>
      <c r="T12" s="126"/>
      <c r="U12" s="126"/>
      <c r="V12" s="126"/>
      <c r="W12" s="129"/>
      <c r="X12" s="129"/>
      <c r="Y12" s="129"/>
      <c r="Z12" s="129"/>
      <c r="AA12" s="129"/>
      <c r="AB12" s="129"/>
      <c r="AC12" s="129"/>
      <c r="AD12" s="65" t="s">
        <v>222</v>
      </c>
      <c r="AE12" s="65" t="s">
        <v>222</v>
      </c>
      <c r="AF12" s="65" t="s">
        <v>222</v>
      </c>
      <c r="AG12" s="65" t="s">
        <v>222</v>
      </c>
      <c r="AH12" s="65" t="s">
        <v>222</v>
      </c>
      <c r="AI12" s="65" t="s">
        <v>222</v>
      </c>
      <c r="AJ12" s="65" t="s">
        <v>222</v>
      </c>
      <c r="AK12" s="65" t="s">
        <v>222</v>
      </c>
      <c r="AL12" s="67" t="e">
        <f>#REF!-#REF!</f>
        <v>#REF!</v>
      </c>
      <c r="AO12" s="31"/>
    </row>
    <row r="13" spans="1:41" ht="82.5" customHeight="1" x14ac:dyDescent="0.25">
      <c r="A13" s="146">
        <v>3</v>
      </c>
      <c r="B13" s="140" t="s">
        <v>228</v>
      </c>
      <c r="C13" s="130" t="s">
        <v>67</v>
      </c>
      <c r="D13" s="63" t="s">
        <v>128</v>
      </c>
      <c r="E13" s="63" t="s">
        <v>36</v>
      </c>
      <c r="F13" s="63">
        <v>1</v>
      </c>
      <c r="G13" s="32" t="s">
        <v>229</v>
      </c>
      <c r="H13" s="65">
        <v>40047.11</v>
      </c>
      <c r="I13" s="65">
        <f t="shared" si="1"/>
        <v>40047.11</v>
      </c>
      <c r="J13" s="65" t="s">
        <v>203</v>
      </c>
      <c r="K13" s="66">
        <v>1.44</v>
      </c>
      <c r="L13" s="65">
        <f>I13*K13</f>
        <v>57667.838400000001</v>
      </c>
      <c r="M13" s="127">
        <f>SUM(L13:L14)</f>
        <v>68305.368400000007</v>
      </c>
      <c r="N13" s="127">
        <f>M13*0.2</f>
        <v>13661.073680000001</v>
      </c>
      <c r="O13" s="127">
        <f>(M13+N13)</f>
        <v>81966.442080000008</v>
      </c>
      <c r="P13" s="127">
        <f>O13</f>
        <v>81966.442080000008</v>
      </c>
      <c r="Q13" s="127">
        <f>SUM(W13:AC14)</f>
        <v>81966.442080000008</v>
      </c>
      <c r="R13" s="124">
        <v>1.048</v>
      </c>
      <c r="S13" s="124">
        <v>1.046</v>
      </c>
      <c r="T13" s="124">
        <v>1.046</v>
      </c>
      <c r="U13" s="124">
        <v>1.046</v>
      </c>
      <c r="V13" s="124">
        <v>1.046</v>
      </c>
      <c r="W13" s="127">
        <f>L14*1.2</f>
        <v>12765.036</v>
      </c>
      <c r="X13" s="127">
        <f>L13*1.2</f>
        <v>69201.406080000001</v>
      </c>
      <c r="Y13" s="127">
        <v>0</v>
      </c>
      <c r="Z13" s="127">
        <v>0</v>
      </c>
      <c r="AA13" s="127">
        <v>0</v>
      </c>
      <c r="AB13" s="127">
        <v>0</v>
      </c>
      <c r="AC13" s="127">
        <v>0</v>
      </c>
      <c r="AD13" s="73">
        <v>3275.0484000000001</v>
      </c>
      <c r="AE13" s="65">
        <v>4377.0550259030397</v>
      </c>
      <c r="AF13" s="74">
        <v>1.0740000000000001</v>
      </c>
      <c r="AG13" s="74">
        <v>1.0369999999999999</v>
      </c>
      <c r="AH13" s="75">
        <v>1.0389999999999999</v>
      </c>
      <c r="AI13" s="65">
        <v>0</v>
      </c>
      <c r="AJ13" s="65">
        <v>4377.0550259030397</v>
      </c>
      <c r="AK13" s="65">
        <v>0</v>
      </c>
      <c r="AL13" s="76" t="e">
        <f>#REF!-#REF!</f>
        <v>#REF!</v>
      </c>
      <c r="AO13" s="31"/>
    </row>
    <row r="14" spans="1:41" ht="82.5" customHeight="1" x14ac:dyDescent="0.25">
      <c r="A14" s="147"/>
      <c r="B14" s="142"/>
      <c r="C14" s="132"/>
      <c r="D14" s="63" t="s">
        <v>109</v>
      </c>
      <c r="E14" s="63" t="s">
        <v>38</v>
      </c>
      <c r="F14" s="63">
        <v>1</v>
      </c>
      <c r="G14" s="77" t="s">
        <v>250</v>
      </c>
      <c r="H14" s="65">
        <v>10637.53</v>
      </c>
      <c r="I14" s="65">
        <f t="shared" si="1"/>
        <v>10637.53</v>
      </c>
      <c r="J14" s="65" t="s">
        <v>35</v>
      </c>
      <c r="K14" s="65" t="s">
        <v>35</v>
      </c>
      <c r="L14" s="65">
        <f>I14</f>
        <v>10637.53</v>
      </c>
      <c r="M14" s="129"/>
      <c r="N14" s="129"/>
      <c r="O14" s="129"/>
      <c r="P14" s="129"/>
      <c r="Q14" s="129"/>
      <c r="R14" s="126"/>
      <c r="S14" s="126"/>
      <c r="T14" s="126"/>
      <c r="U14" s="126"/>
      <c r="V14" s="126"/>
      <c r="W14" s="129"/>
      <c r="X14" s="129"/>
      <c r="Y14" s="129"/>
      <c r="Z14" s="129"/>
      <c r="AA14" s="129"/>
      <c r="AB14" s="129"/>
      <c r="AC14" s="129"/>
      <c r="AD14" s="73">
        <v>3275.0484000000001</v>
      </c>
      <c r="AE14" s="65">
        <v>4377.0550259030397</v>
      </c>
      <c r="AF14" s="74">
        <v>1.0740000000000001</v>
      </c>
      <c r="AG14" s="74">
        <v>1.0369999999999999</v>
      </c>
      <c r="AH14" s="75">
        <v>1.0389999999999999</v>
      </c>
      <c r="AI14" s="65">
        <v>0</v>
      </c>
      <c r="AJ14" s="65">
        <v>4377.0550259030397</v>
      </c>
      <c r="AK14" s="65">
        <v>0</v>
      </c>
      <c r="AL14" s="76" t="e">
        <f>#REF!-#REF!</f>
        <v>#REF!</v>
      </c>
      <c r="AO14" s="31"/>
    </row>
    <row r="15" spans="1:41" ht="95.25" customHeight="1" x14ac:dyDescent="0.25">
      <c r="A15" s="63">
        <v>4</v>
      </c>
      <c r="B15" s="78" t="s">
        <v>231</v>
      </c>
      <c r="C15" s="79">
        <v>6</v>
      </c>
      <c r="D15" s="63" t="s">
        <v>232</v>
      </c>
      <c r="E15" s="63" t="s">
        <v>36</v>
      </c>
      <c r="F15" s="63">
        <v>1</v>
      </c>
      <c r="G15" s="77" t="s">
        <v>233</v>
      </c>
      <c r="H15" s="65">
        <v>4870.74</v>
      </c>
      <c r="I15" s="65">
        <f>H15*F15</f>
        <v>4870.74</v>
      </c>
      <c r="J15" s="65" t="s">
        <v>186</v>
      </c>
      <c r="K15" s="66">
        <v>1.55</v>
      </c>
      <c r="L15" s="65">
        <f t="shared" ref="L15:L18" si="2">H15*K15</f>
        <v>7549.6469999999999</v>
      </c>
      <c r="M15" s="65">
        <f t="shared" ref="M15:M20" si="3">SUM(L15)</f>
        <v>7549.6469999999999</v>
      </c>
      <c r="N15" s="65">
        <f t="shared" ref="N15:N20" si="4">M15*0.2</f>
        <v>1509.9294</v>
      </c>
      <c r="O15" s="65">
        <f t="shared" ref="O15:O20" si="5">M15+N15</f>
        <v>9059.5763999999999</v>
      </c>
      <c r="P15" s="65">
        <f t="shared" ref="P15:P21" si="6">O15</f>
        <v>9059.5763999999999</v>
      </c>
      <c r="Q15" s="65">
        <f>SUM(W15:AC15)</f>
        <v>9059.5763999999999</v>
      </c>
      <c r="R15" s="75">
        <v>1.048</v>
      </c>
      <c r="S15" s="75">
        <v>1.046</v>
      </c>
      <c r="T15" s="75">
        <v>1.046</v>
      </c>
      <c r="U15" s="75">
        <v>1.046</v>
      </c>
      <c r="V15" s="75">
        <v>1.046</v>
      </c>
      <c r="W15" s="65">
        <v>0</v>
      </c>
      <c r="X15" s="65">
        <f t="shared" ref="X15:X21" si="7">O15</f>
        <v>9059.5763999999999</v>
      </c>
      <c r="Y15" s="65">
        <v>0</v>
      </c>
      <c r="Z15" s="65">
        <v>0</v>
      </c>
      <c r="AA15" s="65">
        <v>0</v>
      </c>
      <c r="AB15" s="65">
        <v>0</v>
      </c>
      <c r="AC15" s="65">
        <v>0</v>
      </c>
      <c r="AD15" s="31"/>
      <c r="AE15" s="31"/>
      <c r="AF15" s="31"/>
      <c r="AG15" s="31"/>
      <c r="AH15" s="31"/>
      <c r="AI15" s="31"/>
      <c r="AJ15" s="31"/>
      <c r="AK15" s="31"/>
      <c r="AL15" s="31"/>
      <c r="AO15" s="31"/>
    </row>
    <row r="16" spans="1:41" ht="95.25" customHeight="1" x14ac:dyDescent="0.25">
      <c r="A16" s="63">
        <v>5</v>
      </c>
      <c r="B16" s="78" t="s">
        <v>234</v>
      </c>
      <c r="C16" s="79" t="s">
        <v>235</v>
      </c>
      <c r="D16" s="63" t="s">
        <v>236</v>
      </c>
      <c r="E16" s="63" t="s">
        <v>92</v>
      </c>
      <c r="F16" s="63">
        <v>1</v>
      </c>
      <c r="G16" s="77" t="s">
        <v>237</v>
      </c>
      <c r="H16" s="65">
        <v>1288.9100000000001</v>
      </c>
      <c r="I16" s="65">
        <f t="shared" ref="I16:I18" si="8">H16*F16</f>
        <v>1288.9100000000001</v>
      </c>
      <c r="J16" s="65" t="s">
        <v>238</v>
      </c>
      <c r="K16" s="66">
        <v>1.41</v>
      </c>
      <c r="L16" s="65">
        <f t="shared" si="2"/>
        <v>1817.3631</v>
      </c>
      <c r="M16" s="65">
        <f t="shared" si="3"/>
        <v>1817.3631</v>
      </c>
      <c r="N16" s="65">
        <f t="shared" si="4"/>
        <v>363.47262000000001</v>
      </c>
      <c r="O16" s="65">
        <f t="shared" si="5"/>
        <v>2180.83572</v>
      </c>
      <c r="P16" s="65">
        <f t="shared" si="6"/>
        <v>2180.83572</v>
      </c>
      <c r="Q16" s="65">
        <f t="shared" ref="Q16:Q20" si="9">SUM(W16:AC16)</f>
        <v>2180.83572</v>
      </c>
      <c r="R16" s="75">
        <v>1.048</v>
      </c>
      <c r="S16" s="75">
        <v>1.046</v>
      </c>
      <c r="T16" s="75">
        <v>1.046</v>
      </c>
      <c r="U16" s="75">
        <v>1.046</v>
      </c>
      <c r="V16" s="75">
        <v>1.046</v>
      </c>
      <c r="W16" s="65">
        <v>0</v>
      </c>
      <c r="X16" s="65">
        <f t="shared" si="7"/>
        <v>2180.83572</v>
      </c>
      <c r="Y16" s="65">
        <v>0</v>
      </c>
      <c r="Z16" s="65">
        <v>0</v>
      </c>
      <c r="AA16" s="65">
        <v>0</v>
      </c>
      <c r="AB16" s="65">
        <v>0</v>
      </c>
      <c r="AC16" s="65">
        <v>0</v>
      </c>
      <c r="AD16" s="31"/>
      <c r="AE16" s="31"/>
      <c r="AF16" s="31"/>
      <c r="AG16" s="31"/>
      <c r="AH16" s="31"/>
      <c r="AI16" s="31"/>
      <c r="AJ16" s="31"/>
      <c r="AK16" s="31"/>
      <c r="AL16" s="31"/>
      <c r="AO16" s="31"/>
    </row>
    <row r="17" spans="1:41" ht="95.25" customHeight="1" x14ac:dyDescent="0.25">
      <c r="A17" s="63">
        <v>6</v>
      </c>
      <c r="B17" s="78" t="s">
        <v>239</v>
      </c>
      <c r="C17" s="79" t="s">
        <v>68</v>
      </c>
      <c r="D17" s="63" t="s">
        <v>240</v>
      </c>
      <c r="E17" s="63" t="s">
        <v>92</v>
      </c>
      <c r="F17" s="63">
        <v>1</v>
      </c>
      <c r="G17" s="77" t="s">
        <v>241</v>
      </c>
      <c r="H17" s="65">
        <v>1338.63</v>
      </c>
      <c r="I17" s="65">
        <f t="shared" si="8"/>
        <v>1338.63</v>
      </c>
      <c r="J17" s="65" t="s">
        <v>238</v>
      </c>
      <c r="K17" s="66">
        <v>1.41</v>
      </c>
      <c r="L17" s="65">
        <f t="shared" si="2"/>
        <v>1887.4683</v>
      </c>
      <c r="M17" s="65">
        <f t="shared" si="3"/>
        <v>1887.4683</v>
      </c>
      <c r="N17" s="65">
        <f t="shared" si="4"/>
        <v>377.49366000000003</v>
      </c>
      <c r="O17" s="65">
        <f t="shared" si="5"/>
        <v>2264.9619600000001</v>
      </c>
      <c r="P17" s="65">
        <f t="shared" si="6"/>
        <v>2264.9619600000001</v>
      </c>
      <c r="Q17" s="65">
        <f t="shared" si="9"/>
        <v>2264.9619600000001</v>
      </c>
      <c r="R17" s="75">
        <v>1.048</v>
      </c>
      <c r="S17" s="75">
        <v>1.046</v>
      </c>
      <c r="T17" s="75">
        <v>1.046</v>
      </c>
      <c r="U17" s="75">
        <v>1.046</v>
      </c>
      <c r="V17" s="75">
        <v>1.046</v>
      </c>
      <c r="W17" s="65">
        <v>0</v>
      </c>
      <c r="X17" s="65">
        <f t="shared" si="7"/>
        <v>2264.9619600000001</v>
      </c>
      <c r="Y17" s="65">
        <v>0</v>
      </c>
      <c r="Z17" s="65">
        <v>0</v>
      </c>
      <c r="AA17" s="65">
        <v>0</v>
      </c>
      <c r="AB17" s="65">
        <v>0</v>
      </c>
      <c r="AC17" s="65">
        <v>0</v>
      </c>
      <c r="AD17" s="31"/>
      <c r="AE17" s="31"/>
      <c r="AF17" s="31"/>
      <c r="AG17" s="31"/>
      <c r="AH17" s="31"/>
      <c r="AI17" s="31"/>
      <c r="AJ17" s="31"/>
      <c r="AK17" s="31"/>
      <c r="AL17" s="31"/>
      <c r="AO17" s="31"/>
    </row>
    <row r="18" spans="1:41" ht="95.25" customHeight="1" x14ac:dyDescent="0.25">
      <c r="A18" s="63">
        <v>7</v>
      </c>
      <c r="B18" s="78" t="s">
        <v>242</v>
      </c>
      <c r="C18" s="79" t="s">
        <v>235</v>
      </c>
      <c r="D18" s="63" t="s">
        <v>240</v>
      </c>
      <c r="E18" s="63" t="s">
        <v>92</v>
      </c>
      <c r="F18" s="63">
        <v>1</v>
      </c>
      <c r="G18" s="77" t="s">
        <v>241</v>
      </c>
      <c r="H18" s="65">
        <v>1338.63</v>
      </c>
      <c r="I18" s="65">
        <f t="shared" si="8"/>
        <v>1338.63</v>
      </c>
      <c r="J18" s="65" t="s">
        <v>238</v>
      </c>
      <c r="K18" s="66">
        <v>1.41</v>
      </c>
      <c r="L18" s="65">
        <f t="shared" si="2"/>
        <v>1887.4683</v>
      </c>
      <c r="M18" s="65">
        <f t="shared" si="3"/>
        <v>1887.4683</v>
      </c>
      <c r="N18" s="65">
        <f t="shared" si="4"/>
        <v>377.49366000000003</v>
      </c>
      <c r="O18" s="65">
        <f t="shared" si="5"/>
        <v>2264.9619600000001</v>
      </c>
      <c r="P18" s="65">
        <f t="shared" si="6"/>
        <v>2264.9619600000001</v>
      </c>
      <c r="Q18" s="65">
        <f t="shared" si="9"/>
        <v>2264.9619600000001</v>
      </c>
      <c r="R18" s="75">
        <v>1.048</v>
      </c>
      <c r="S18" s="75">
        <v>1.046</v>
      </c>
      <c r="T18" s="75">
        <v>1.046</v>
      </c>
      <c r="U18" s="75">
        <v>1.046</v>
      </c>
      <c r="V18" s="75">
        <v>1.046</v>
      </c>
      <c r="W18" s="65">
        <v>0</v>
      </c>
      <c r="X18" s="65">
        <f t="shared" si="7"/>
        <v>2264.9619600000001</v>
      </c>
      <c r="Y18" s="65">
        <v>0</v>
      </c>
      <c r="Z18" s="65">
        <v>0</v>
      </c>
      <c r="AA18" s="65">
        <v>0</v>
      </c>
      <c r="AB18" s="65">
        <v>0</v>
      </c>
      <c r="AC18" s="65">
        <v>0</v>
      </c>
      <c r="AD18" s="31"/>
      <c r="AE18" s="31"/>
      <c r="AF18" s="31"/>
      <c r="AG18" s="31"/>
      <c r="AH18" s="31"/>
      <c r="AI18" s="31"/>
      <c r="AJ18" s="31"/>
      <c r="AK18" s="31"/>
      <c r="AL18" s="31"/>
      <c r="AO18" s="31"/>
    </row>
    <row r="19" spans="1:41" ht="95.25" customHeight="1" x14ac:dyDescent="0.25">
      <c r="A19" s="63">
        <v>8</v>
      </c>
      <c r="B19" s="78" t="s">
        <v>243</v>
      </c>
      <c r="C19" s="79" t="s">
        <v>68</v>
      </c>
      <c r="D19" s="63" t="s">
        <v>173</v>
      </c>
      <c r="E19" s="63" t="s">
        <v>92</v>
      </c>
      <c r="F19" s="63">
        <v>1</v>
      </c>
      <c r="G19" s="77" t="s">
        <v>185</v>
      </c>
      <c r="H19" s="65">
        <v>2409.41</v>
      </c>
      <c r="I19" s="65">
        <f t="shared" ref="I19:I25" si="10">F19*H19</f>
        <v>2409.41</v>
      </c>
      <c r="J19" s="65" t="s">
        <v>176</v>
      </c>
      <c r="K19" s="66">
        <v>1.44</v>
      </c>
      <c r="L19" s="65">
        <f t="shared" ref="L19:L21" si="11">I19*K19</f>
        <v>3469.5503999999996</v>
      </c>
      <c r="M19" s="65">
        <f t="shared" si="3"/>
        <v>3469.5503999999996</v>
      </c>
      <c r="N19" s="65">
        <f t="shared" si="4"/>
        <v>693.91007999999999</v>
      </c>
      <c r="O19" s="65">
        <f t="shared" si="5"/>
        <v>4163.4604799999997</v>
      </c>
      <c r="P19" s="65">
        <f t="shared" si="6"/>
        <v>4163.4604799999997</v>
      </c>
      <c r="Q19" s="65">
        <f t="shared" si="9"/>
        <v>4163.4604799999997</v>
      </c>
      <c r="R19" s="75">
        <v>1.048</v>
      </c>
      <c r="S19" s="75">
        <v>1.046</v>
      </c>
      <c r="T19" s="75">
        <v>1.046</v>
      </c>
      <c r="U19" s="75">
        <v>1.046</v>
      </c>
      <c r="V19" s="75">
        <v>1.046</v>
      </c>
      <c r="W19" s="65">
        <v>0</v>
      </c>
      <c r="X19" s="65">
        <f>O19</f>
        <v>4163.4604799999997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31"/>
      <c r="AE19" s="31"/>
      <c r="AF19" s="31"/>
      <c r="AG19" s="31"/>
      <c r="AH19" s="31"/>
      <c r="AI19" s="31"/>
      <c r="AJ19" s="31"/>
      <c r="AK19" s="31"/>
      <c r="AL19" s="31"/>
      <c r="AO19" s="31"/>
    </row>
    <row r="20" spans="1:41" ht="95.25" customHeight="1" x14ac:dyDescent="0.25">
      <c r="A20" s="63">
        <v>9</v>
      </c>
      <c r="B20" s="78" t="s">
        <v>244</v>
      </c>
      <c r="C20" s="80" t="s">
        <v>69</v>
      </c>
      <c r="D20" s="63" t="s">
        <v>173</v>
      </c>
      <c r="E20" s="63" t="s">
        <v>92</v>
      </c>
      <c r="F20" s="63">
        <v>1</v>
      </c>
      <c r="G20" s="77" t="s">
        <v>185</v>
      </c>
      <c r="H20" s="65">
        <v>2409.41</v>
      </c>
      <c r="I20" s="65">
        <f t="shared" si="10"/>
        <v>2409.41</v>
      </c>
      <c r="J20" s="65" t="s">
        <v>176</v>
      </c>
      <c r="K20" s="66">
        <v>1.44</v>
      </c>
      <c r="L20" s="65">
        <f t="shared" si="11"/>
        <v>3469.5503999999996</v>
      </c>
      <c r="M20" s="65">
        <f t="shared" si="3"/>
        <v>3469.5503999999996</v>
      </c>
      <c r="N20" s="65">
        <f t="shared" si="4"/>
        <v>693.91007999999999</v>
      </c>
      <c r="O20" s="65">
        <f t="shared" si="5"/>
        <v>4163.4604799999997</v>
      </c>
      <c r="P20" s="65">
        <f t="shared" si="6"/>
        <v>4163.4604799999997</v>
      </c>
      <c r="Q20" s="65">
        <f t="shared" si="9"/>
        <v>4163.4604799999997</v>
      </c>
      <c r="R20" s="75">
        <v>1.048</v>
      </c>
      <c r="S20" s="75">
        <v>1.046</v>
      </c>
      <c r="T20" s="75">
        <v>1.046</v>
      </c>
      <c r="U20" s="75">
        <v>1.046</v>
      </c>
      <c r="V20" s="75">
        <v>1.046</v>
      </c>
      <c r="W20" s="65">
        <v>0</v>
      </c>
      <c r="X20" s="65">
        <f t="shared" si="7"/>
        <v>4163.4604799999997</v>
      </c>
      <c r="Y20" s="65">
        <v>0</v>
      </c>
      <c r="Z20" s="65">
        <v>0</v>
      </c>
      <c r="AA20" s="65">
        <v>0</v>
      </c>
      <c r="AB20" s="65">
        <v>0</v>
      </c>
      <c r="AC20" s="65">
        <v>0</v>
      </c>
      <c r="AD20" s="31"/>
      <c r="AE20" s="31"/>
      <c r="AF20" s="31"/>
      <c r="AG20" s="31"/>
      <c r="AH20" s="31"/>
      <c r="AI20" s="31"/>
      <c r="AJ20" s="31"/>
      <c r="AK20" s="31"/>
      <c r="AL20" s="31"/>
      <c r="AO20" s="31"/>
    </row>
    <row r="21" spans="1:41" ht="95.25" customHeight="1" x14ac:dyDescent="0.25">
      <c r="A21" s="133">
        <v>10</v>
      </c>
      <c r="B21" s="140" t="s">
        <v>245</v>
      </c>
      <c r="C21" s="143">
        <v>6</v>
      </c>
      <c r="D21" s="63" t="s">
        <v>217</v>
      </c>
      <c r="E21" s="63" t="s">
        <v>33</v>
      </c>
      <c r="F21" s="63">
        <v>0.4</v>
      </c>
      <c r="G21" s="77" t="s">
        <v>216</v>
      </c>
      <c r="H21" s="65">
        <v>1929.53</v>
      </c>
      <c r="I21" s="65">
        <f t="shared" si="10"/>
        <v>771.81200000000001</v>
      </c>
      <c r="J21" s="65" t="s">
        <v>218</v>
      </c>
      <c r="K21" s="66">
        <v>1.62</v>
      </c>
      <c r="L21" s="65">
        <f t="shared" si="11"/>
        <v>1250.3354400000001</v>
      </c>
      <c r="M21" s="127">
        <f>SUM(L21:L25)</f>
        <v>4116.1892103999999</v>
      </c>
      <c r="N21" s="127">
        <f>M21*0.2</f>
        <v>823.23784208000006</v>
      </c>
      <c r="O21" s="127">
        <f>M21+N21</f>
        <v>4939.4270524799995</v>
      </c>
      <c r="P21" s="127">
        <f t="shared" si="6"/>
        <v>4939.4270524799995</v>
      </c>
      <c r="Q21" s="127">
        <f>SUM(W21:AC25)</f>
        <v>4939.4270524799995</v>
      </c>
      <c r="R21" s="124">
        <v>1.046</v>
      </c>
      <c r="S21" s="124">
        <v>1.042</v>
      </c>
      <c r="T21" s="124">
        <v>1.042</v>
      </c>
      <c r="U21" s="124">
        <v>1.042</v>
      </c>
      <c r="V21" s="124">
        <v>1.042</v>
      </c>
      <c r="W21" s="127">
        <v>0</v>
      </c>
      <c r="X21" s="127">
        <f t="shared" si="7"/>
        <v>4939.4270524799995</v>
      </c>
      <c r="Y21" s="127">
        <v>0</v>
      </c>
      <c r="Z21" s="127">
        <v>0</v>
      </c>
      <c r="AA21" s="127">
        <v>0</v>
      </c>
      <c r="AB21" s="127">
        <v>0</v>
      </c>
      <c r="AC21" s="127">
        <v>0</v>
      </c>
      <c r="AD21" s="31"/>
      <c r="AE21" s="31"/>
      <c r="AF21" s="31"/>
      <c r="AG21" s="31"/>
      <c r="AH21" s="31"/>
      <c r="AI21" s="31"/>
      <c r="AJ21" s="31"/>
      <c r="AK21" s="31"/>
      <c r="AL21" s="31"/>
      <c r="AO21" s="31"/>
    </row>
    <row r="22" spans="1:41" ht="104.25" customHeight="1" x14ac:dyDescent="0.25">
      <c r="A22" s="133"/>
      <c r="B22" s="141"/>
      <c r="C22" s="144"/>
      <c r="D22" s="63" t="s">
        <v>41</v>
      </c>
      <c r="E22" s="63" t="s">
        <v>42</v>
      </c>
      <c r="F22" s="63">
        <v>15.82</v>
      </c>
      <c r="G22" s="77" t="s">
        <v>43</v>
      </c>
      <c r="H22" s="81">
        <v>24.86</v>
      </c>
      <c r="I22" s="81">
        <f t="shared" si="10"/>
        <v>393.28519999999997</v>
      </c>
      <c r="J22" s="81" t="s">
        <v>205</v>
      </c>
      <c r="K22" s="82">
        <v>1.1100000000000001</v>
      </c>
      <c r="L22" s="81">
        <f>I22*K22</f>
        <v>436.54657200000003</v>
      </c>
      <c r="M22" s="128"/>
      <c r="N22" s="128"/>
      <c r="O22" s="128"/>
      <c r="P22" s="128"/>
      <c r="Q22" s="128"/>
      <c r="R22" s="125"/>
      <c r="S22" s="125"/>
      <c r="T22" s="125"/>
      <c r="U22" s="125"/>
      <c r="V22" s="125"/>
      <c r="W22" s="128"/>
      <c r="X22" s="128"/>
      <c r="Y22" s="128"/>
      <c r="Z22" s="128"/>
      <c r="AA22" s="128"/>
      <c r="AB22" s="128"/>
      <c r="AC22" s="128"/>
      <c r="AD22" s="31"/>
      <c r="AE22" s="31"/>
      <c r="AF22" s="31"/>
      <c r="AG22" s="31"/>
      <c r="AH22" s="31"/>
      <c r="AI22" s="31"/>
      <c r="AJ22" s="31"/>
      <c r="AK22" s="31"/>
      <c r="AL22" s="31"/>
      <c r="AO22" s="31"/>
    </row>
    <row r="23" spans="1:41" ht="104.25" customHeight="1" x14ac:dyDescent="0.25">
      <c r="A23" s="133"/>
      <c r="B23" s="141"/>
      <c r="C23" s="144"/>
      <c r="D23" s="63" t="s">
        <v>45</v>
      </c>
      <c r="E23" s="63" t="s">
        <v>33</v>
      </c>
      <c r="F23" s="63">
        <v>1.1379999999999999</v>
      </c>
      <c r="G23" s="77" t="s">
        <v>46</v>
      </c>
      <c r="H23" s="65">
        <v>1529.52</v>
      </c>
      <c r="I23" s="65">
        <f t="shared" si="10"/>
        <v>1740.5937599999997</v>
      </c>
      <c r="J23" s="65" t="s">
        <v>206</v>
      </c>
      <c r="K23" s="66">
        <v>1.0900000000000001</v>
      </c>
      <c r="L23" s="65">
        <f t="shared" ref="L23" si="12">I23*K23</f>
        <v>1897.2471983999999</v>
      </c>
      <c r="M23" s="128"/>
      <c r="N23" s="128"/>
      <c r="O23" s="128"/>
      <c r="P23" s="128"/>
      <c r="Q23" s="128"/>
      <c r="R23" s="125"/>
      <c r="S23" s="125"/>
      <c r="T23" s="125"/>
      <c r="U23" s="125"/>
      <c r="V23" s="125"/>
      <c r="W23" s="128"/>
      <c r="X23" s="128"/>
      <c r="Y23" s="128"/>
      <c r="Z23" s="128"/>
      <c r="AA23" s="128"/>
      <c r="AB23" s="128"/>
      <c r="AC23" s="128"/>
      <c r="AD23" s="31"/>
      <c r="AE23" s="31"/>
      <c r="AF23" s="31"/>
      <c r="AG23" s="31"/>
      <c r="AH23" s="31"/>
      <c r="AI23" s="31"/>
      <c r="AJ23" s="31"/>
      <c r="AK23" s="31"/>
      <c r="AL23" s="31"/>
      <c r="AO23" s="31"/>
    </row>
    <row r="24" spans="1:41" ht="90.75" customHeight="1" x14ac:dyDescent="0.25">
      <c r="A24" s="133"/>
      <c r="B24" s="141"/>
      <c r="C24" s="144"/>
      <c r="D24" s="63" t="s">
        <v>207</v>
      </c>
      <c r="E24" s="63" t="s">
        <v>44</v>
      </c>
      <c r="F24" s="63">
        <v>0.3</v>
      </c>
      <c r="G24" s="77" t="s">
        <v>215</v>
      </c>
      <c r="H24" s="81">
        <v>355.2</v>
      </c>
      <c r="I24" s="81">
        <f>F24*H24</f>
        <v>106.55999999999999</v>
      </c>
      <c r="J24" s="81" t="s">
        <v>35</v>
      </c>
      <c r="K24" s="82" t="s">
        <v>35</v>
      </c>
      <c r="L24" s="81">
        <f>I24</f>
        <v>106.55999999999999</v>
      </c>
      <c r="M24" s="128"/>
      <c r="N24" s="128"/>
      <c r="O24" s="128"/>
      <c r="P24" s="128"/>
      <c r="Q24" s="128"/>
      <c r="R24" s="125"/>
      <c r="S24" s="125"/>
      <c r="T24" s="125"/>
      <c r="U24" s="125"/>
      <c r="V24" s="125"/>
      <c r="W24" s="128"/>
      <c r="X24" s="128"/>
      <c r="Y24" s="128"/>
      <c r="Z24" s="128"/>
      <c r="AA24" s="128"/>
      <c r="AB24" s="128"/>
      <c r="AC24" s="128"/>
      <c r="AD24" s="31"/>
      <c r="AE24" s="31"/>
      <c r="AF24" s="31"/>
      <c r="AG24" s="31"/>
      <c r="AH24" s="31"/>
      <c r="AI24" s="31"/>
      <c r="AJ24" s="31"/>
      <c r="AK24" s="31"/>
      <c r="AL24" s="31"/>
      <c r="AO24" s="31"/>
    </row>
    <row r="25" spans="1:41" ht="90.75" customHeight="1" x14ac:dyDescent="0.25">
      <c r="A25" s="133"/>
      <c r="B25" s="142"/>
      <c r="C25" s="145"/>
      <c r="D25" s="63" t="s">
        <v>230</v>
      </c>
      <c r="E25" s="63" t="s">
        <v>38</v>
      </c>
      <c r="F25" s="63">
        <v>1</v>
      </c>
      <c r="G25" s="77" t="s">
        <v>251</v>
      </c>
      <c r="H25" s="65">
        <v>425.5</v>
      </c>
      <c r="I25" s="65">
        <f t="shared" si="10"/>
        <v>425.5</v>
      </c>
      <c r="J25" s="65" t="s">
        <v>35</v>
      </c>
      <c r="K25" s="65" t="s">
        <v>35</v>
      </c>
      <c r="L25" s="65">
        <f>I25</f>
        <v>425.5</v>
      </c>
      <c r="M25" s="129"/>
      <c r="N25" s="129"/>
      <c r="O25" s="129"/>
      <c r="P25" s="129"/>
      <c r="Q25" s="129"/>
      <c r="R25" s="126"/>
      <c r="S25" s="126"/>
      <c r="T25" s="126"/>
      <c r="U25" s="126"/>
      <c r="V25" s="126"/>
      <c r="W25" s="129"/>
      <c r="X25" s="129"/>
      <c r="Y25" s="129"/>
      <c r="Z25" s="129"/>
      <c r="AA25" s="129"/>
      <c r="AB25" s="129"/>
      <c r="AC25" s="129"/>
      <c r="AD25" s="31"/>
      <c r="AE25" s="31"/>
      <c r="AF25" s="31"/>
      <c r="AG25" s="31"/>
      <c r="AH25" s="31"/>
      <c r="AI25" s="31"/>
      <c r="AJ25" s="31"/>
      <c r="AK25" s="31"/>
      <c r="AL25" s="31"/>
      <c r="AO25" s="31"/>
    </row>
    <row r="26" spans="1:41" ht="60" customHeight="1" x14ac:dyDescent="0.3">
      <c r="A26" s="146">
        <v>11</v>
      </c>
      <c r="B26" s="140" t="s">
        <v>71</v>
      </c>
      <c r="C26" s="130" t="s">
        <v>67</v>
      </c>
      <c r="D26" s="63" t="s">
        <v>88</v>
      </c>
      <c r="E26" s="63" t="s">
        <v>36</v>
      </c>
      <c r="F26" s="63">
        <v>7</v>
      </c>
      <c r="G26" s="32" t="s">
        <v>89</v>
      </c>
      <c r="H26" s="65">
        <v>27469.919999999998</v>
      </c>
      <c r="I26" s="65">
        <f>F26*H26</f>
        <v>192289.44</v>
      </c>
      <c r="J26" s="65" t="s">
        <v>176</v>
      </c>
      <c r="K26" s="66">
        <v>1.44</v>
      </c>
      <c r="L26" s="65">
        <f>I26*K26</f>
        <v>276896.79359999998</v>
      </c>
      <c r="M26" s="127">
        <f>SUM(L26:L32)</f>
        <v>329494.0208</v>
      </c>
      <c r="N26" s="127">
        <f>M26*0.2</f>
        <v>65898.80416</v>
      </c>
      <c r="O26" s="127">
        <f>M26+N26</f>
        <v>395392.82496</v>
      </c>
      <c r="P26" s="127">
        <f>O26</f>
        <v>395392.82496</v>
      </c>
      <c r="Q26" s="127">
        <f>SUM(W26:AC32)</f>
        <v>432248.07216691971</v>
      </c>
      <c r="R26" s="124">
        <v>1.048</v>
      </c>
      <c r="S26" s="124">
        <v>1.046</v>
      </c>
      <c r="T26" s="124">
        <v>1.046</v>
      </c>
      <c r="U26" s="124">
        <v>1.046</v>
      </c>
      <c r="V26" s="124">
        <v>1.046</v>
      </c>
      <c r="W26" s="127">
        <f>L32*1.2</f>
        <v>12314.003999999999</v>
      </c>
      <c r="X26" s="127">
        <v>0</v>
      </c>
      <c r="Y26" s="127">
        <v>0</v>
      </c>
      <c r="Z26" s="127">
        <f>SUM(L26:L31)*1.2*R26*S26</f>
        <v>419934.06816691969</v>
      </c>
      <c r="AA26" s="127">
        <v>0</v>
      </c>
      <c r="AB26" s="127">
        <v>0</v>
      </c>
      <c r="AC26" s="127">
        <v>0</v>
      </c>
      <c r="AD26" s="127" t="e">
        <f>#REF!</f>
        <v>#REF!</v>
      </c>
      <c r="AE26" s="127" t="e">
        <f>AJ26+AI26</f>
        <v>#REF!</v>
      </c>
      <c r="AF26" s="124">
        <v>1.0740000000000001</v>
      </c>
      <c r="AG26" s="124">
        <v>1.0369999999999999</v>
      </c>
      <c r="AH26" s="124">
        <v>1.0389999999999999</v>
      </c>
      <c r="AI26" s="124">
        <v>0</v>
      </c>
      <c r="AJ26" s="127" t="e">
        <f>#REF!*AF26*AG26</f>
        <v>#REF!</v>
      </c>
      <c r="AK26" s="127" t="e">
        <f>AD26-#REF!</f>
        <v>#REF!</v>
      </c>
      <c r="AL26" s="151" t="e">
        <f>AD26-O26</f>
        <v>#REF!</v>
      </c>
      <c r="AM26" s="31">
        <f>Q26/1.2</f>
        <v>360206.72680576646</v>
      </c>
    </row>
    <row r="27" spans="1:41" ht="96.75" customHeight="1" x14ac:dyDescent="0.3">
      <c r="A27" s="149"/>
      <c r="B27" s="141"/>
      <c r="C27" s="131"/>
      <c r="D27" s="63" t="s">
        <v>91</v>
      </c>
      <c r="E27" s="63" t="s">
        <v>36</v>
      </c>
      <c r="F27" s="63">
        <v>3</v>
      </c>
      <c r="G27" s="77" t="s">
        <v>90</v>
      </c>
      <c r="H27" s="65">
        <v>5058.3</v>
      </c>
      <c r="I27" s="65">
        <f>F27*H27</f>
        <v>15174.900000000001</v>
      </c>
      <c r="J27" s="65" t="s">
        <v>176</v>
      </c>
      <c r="K27" s="66">
        <v>1.44</v>
      </c>
      <c r="L27" s="65">
        <f t="shared" ref="L27:L41" si="13">I27*K27</f>
        <v>21851.856</v>
      </c>
      <c r="M27" s="128"/>
      <c r="N27" s="128"/>
      <c r="O27" s="128"/>
      <c r="P27" s="128"/>
      <c r="Q27" s="128"/>
      <c r="R27" s="125"/>
      <c r="S27" s="125"/>
      <c r="T27" s="125"/>
      <c r="U27" s="125"/>
      <c r="V27" s="125"/>
      <c r="W27" s="128"/>
      <c r="X27" s="128"/>
      <c r="Y27" s="128"/>
      <c r="Z27" s="128"/>
      <c r="AA27" s="128"/>
      <c r="AB27" s="128"/>
      <c r="AC27" s="128"/>
      <c r="AD27" s="128"/>
      <c r="AE27" s="128"/>
      <c r="AF27" s="125"/>
      <c r="AG27" s="125"/>
      <c r="AH27" s="125"/>
      <c r="AI27" s="125"/>
      <c r="AJ27" s="128"/>
      <c r="AK27" s="128"/>
      <c r="AL27" s="152"/>
      <c r="AM27" s="31">
        <f>Q27/1.2</f>
        <v>0</v>
      </c>
    </row>
    <row r="28" spans="1:41" ht="69.75" customHeight="1" x14ac:dyDescent="0.3">
      <c r="A28" s="149"/>
      <c r="B28" s="141"/>
      <c r="C28" s="131"/>
      <c r="D28" s="63" t="s">
        <v>173</v>
      </c>
      <c r="E28" s="63" t="s">
        <v>92</v>
      </c>
      <c r="F28" s="63">
        <v>1</v>
      </c>
      <c r="G28" s="77" t="s">
        <v>175</v>
      </c>
      <c r="H28" s="65">
        <v>2409.41</v>
      </c>
      <c r="I28" s="65">
        <f>F28*H28</f>
        <v>2409.41</v>
      </c>
      <c r="J28" s="65" t="s">
        <v>176</v>
      </c>
      <c r="K28" s="66">
        <v>1.44</v>
      </c>
      <c r="L28" s="65">
        <f t="shared" si="13"/>
        <v>3469.5503999999996</v>
      </c>
      <c r="M28" s="128"/>
      <c r="N28" s="128"/>
      <c r="O28" s="128"/>
      <c r="P28" s="128"/>
      <c r="Q28" s="128"/>
      <c r="R28" s="125"/>
      <c r="S28" s="125"/>
      <c r="T28" s="125"/>
      <c r="U28" s="125"/>
      <c r="V28" s="125"/>
      <c r="W28" s="128"/>
      <c r="X28" s="128"/>
      <c r="Y28" s="128"/>
      <c r="Z28" s="128"/>
      <c r="AA28" s="128"/>
      <c r="AB28" s="128"/>
      <c r="AC28" s="128"/>
      <c r="AD28" s="128"/>
      <c r="AE28" s="128"/>
      <c r="AF28" s="125"/>
      <c r="AG28" s="125"/>
      <c r="AH28" s="125"/>
      <c r="AI28" s="125"/>
      <c r="AJ28" s="128"/>
      <c r="AK28" s="128"/>
      <c r="AL28" s="152"/>
      <c r="AM28" s="31">
        <f>Q28/1.2</f>
        <v>0</v>
      </c>
    </row>
    <row r="29" spans="1:41" ht="94.5" customHeight="1" x14ac:dyDescent="0.3">
      <c r="A29" s="149"/>
      <c r="B29" s="141"/>
      <c r="C29" s="131"/>
      <c r="D29" s="63" t="s">
        <v>177</v>
      </c>
      <c r="E29" s="63" t="s">
        <v>92</v>
      </c>
      <c r="F29" s="63">
        <v>2</v>
      </c>
      <c r="G29" s="77" t="s">
        <v>178</v>
      </c>
      <c r="H29" s="65">
        <v>2078.36</v>
      </c>
      <c r="I29" s="65">
        <f t="shared" ref="I29" si="14">F29*H29</f>
        <v>4156.72</v>
      </c>
      <c r="J29" s="65" t="s">
        <v>179</v>
      </c>
      <c r="K29" s="66">
        <v>1.53</v>
      </c>
      <c r="L29" s="65">
        <f>I29*K29</f>
        <v>6359.7816000000003</v>
      </c>
      <c r="M29" s="128"/>
      <c r="N29" s="128"/>
      <c r="O29" s="128"/>
      <c r="P29" s="128"/>
      <c r="Q29" s="128"/>
      <c r="R29" s="125"/>
      <c r="S29" s="125"/>
      <c r="T29" s="125"/>
      <c r="U29" s="125"/>
      <c r="V29" s="125"/>
      <c r="W29" s="128"/>
      <c r="X29" s="128"/>
      <c r="Y29" s="128"/>
      <c r="Z29" s="128"/>
      <c r="AA29" s="128"/>
      <c r="AB29" s="128"/>
      <c r="AC29" s="128"/>
      <c r="AD29" s="128"/>
      <c r="AE29" s="128"/>
      <c r="AF29" s="125"/>
      <c r="AG29" s="125"/>
      <c r="AH29" s="125"/>
      <c r="AI29" s="125"/>
      <c r="AJ29" s="128"/>
      <c r="AK29" s="128"/>
      <c r="AL29" s="152"/>
      <c r="AM29" s="31">
        <f>Q29/1.2</f>
        <v>0</v>
      </c>
    </row>
    <row r="30" spans="1:41" ht="79.5" customHeight="1" x14ac:dyDescent="0.3">
      <c r="A30" s="149"/>
      <c r="B30" s="141"/>
      <c r="C30" s="131"/>
      <c r="D30" s="63" t="s">
        <v>180</v>
      </c>
      <c r="E30" s="63" t="s">
        <v>92</v>
      </c>
      <c r="F30" s="63">
        <v>2</v>
      </c>
      <c r="G30" s="77" t="s">
        <v>181</v>
      </c>
      <c r="H30" s="65">
        <v>2431.7800000000002</v>
      </c>
      <c r="I30" s="65">
        <f t="shared" ref="I30" si="15">F30*H30</f>
        <v>4863.5600000000004</v>
      </c>
      <c r="J30" s="65" t="s">
        <v>179</v>
      </c>
      <c r="K30" s="66">
        <v>1.53</v>
      </c>
      <c r="L30" s="65">
        <f t="shared" si="13"/>
        <v>7441.2468000000008</v>
      </c>
      <c r="M30" s="128"/>
      <c r="N30" s="128"/>
      <c r="O30" s="128"/>
      <c r="P30" s="128"/>
      <c r="Q30" s="128"/>
      <c r="R30" s="125"/>
      <c r="S30" s="125"/>
      <c r="T30" s="125"/>
      <c r="U30" s="125"/>
      <c r="V30" s="125"/>
      <c r="W30" s="128"/>
      <c r="X30" s="128"/>
      <c r="Y30" s="128"/>
      <c r="Z30" s="128"/>
      <c r="AA30" s="128"/>
      <c r="AB30" s="128"/>
      <c r="AC30" s="128"/>
      <c r="AD30" s="128"/>
      <c r="AE30" s="128"/>
      <c r="AF30" s="125"/>
      <c r="AG30" s="125"/>
      <c r="AH30" s="125"/>
      <c r="AI30" s="125"/>
      <c r="AJ30" s="128"/>
      <c r="AK30" s="128"/>
      <c r="AL30" s="152"/>
      <c r="AM30" s="31">
        <f>Q30/1.2</f>
        <v>0</v>
      </c>
    </row>
    <row r="31" spans="1:41" ht="79.5" customHeight="1" x14ac:dyDescent="0.3">
      <c r="A31" s="149"/>
      <c r="B31" s="141"/>
      <c r="C31" s="131"/>
      <c r="D31" s="63" t="s">
        <v>174</v>
      </c>
      <c r="E31" s="63" t="s">
        <v>92</v>
      </c>
      <c r="F31" s="63">
        <v>1</v>
      </c>
      <c r="G31" s="77" t="s">
        <v>93</v>
      </c>
      <c r="H31" s="65">
        <v>2100.08</v>
      </c>
      <c r="I31" s="65">
        <f t="shared" ref="I31" si="16">F31*H31</f>
        <v>2100.08</v>
      </c>
      <c r="J31" s="65" t="s">
        <v>176</v>
      </c>
      <c r="K31" s="66">
        <v>1.53</v>
      </c>
      <c r="L31" s="65">
        <f t="shared" ref="L31" si="17">I31*K31</f>
        <v>3213.1223999999997</v>
      </c>
      <c r="M31" s="128"/>
      <c r="N31" s="128"/>
      <c r="O31" s="128"/>
      <c r="P31" s="128"/>
      <c r="Q31" s="128"/>
      <c r="R31" s="125"/>
      <c r="S31" s="125"/>
      <c r="T31" s="125"/>
      <c r="U31" s="125"/>
      <c r="V31" s="125"/>
      <c r="W31" s="128"/>
      <c r="X31" s="128"/>
      <c r="Y31" s="128"/>
      <c r="Z31" s="128"/>
      <c r="AA31" s="128"/>
      <c r="AB31" s="128"/>
      <c r="AC31" s="128"/>
      <c r="AD31" s="128"/>
      <c r="AE31" s="128"/>
      <c r="AF31" s="125"/>
      <c r="AG31" s="125"/>
      <c r="AH31" s="125"/>
      <c r="AI31" s="125"/>
      <c r="AJ31" s="128"/>
      <c r="AK31" s="128"/>
      <c r="AL31" s="152"/>
    </row>
    <row r="32" spans="1:41" ht="79.5" customHeight="1" x14ac:dyDescent="0.3">
      <c r="A32" s="147"/>
      <c r="B32" s="142"/>
      <c r="C32" s="132"/>
      <c r="D32" s="63" t="s">
        <v>170</v>
      </c>
      <c r="E32" s="63" t="s">
        <v>171</v>
      </c>
      <c r="F32" s="63">
        <v>1</v>
      </c>
      <c r="G32" s="77" t="s">
        <v>172</v>
      </c>
      <c r="H32" s="65">
        <v>10261.67</v>
      </c>
      <c r="I32" s="65">
        <f>H32*F32</f>
        <v>10261.67</v>
      </c>
      <c r="J32" s="65" t="s">
        <v>35</v>
      </c>
      <c r="K32" s="66" t="s">
        <v>35</v>
      </c>
      <c r="L32" s="65">
        <f>I32</f>
        <v>10261.67</v>
      </c>
      <c r="M32" s="129"/>
      <c r="N32" s="129"/>
      <c r="O32" s="129"/>
      <c r="P32" s="129"/>
      <c r="Q32" s="129"/>
      <c r="R32" s="126"/>
      <c r="S32" s="126"/>
      <c r="T32" s="126"/>
      <c r="U32" s="126"/>
      <c r="V32" s="126"/>
      <c r="W32" s="129"/>
      <c r="X32" s="129"/>
      <c r="Y32" s="129"/>
      <c r="Z32" s="129"/>
      <c r="AA32" s="129"/>
      <c r="AB32" s="129"/>
      <c r="AC32" s="129"/>
      <c r="AD32" s="129"/>
      <c r="AE32" s="129"/>
      <c r="AF32" s="126"/>
      <c r="AG32" s="126"/>
      <c r="AH32" s="126"/>
      <c r="AI32" s="126"/>
      <c r="AJ32" s="129"/>
      <c r="AK32" s="129"/>
      <c r="AL32" s="153"/>
      <c r="AM32" s="31">
        <f t="shared" ref="AM32:AM63" si="18">Q32/1.2</f>
        <v>0</v>
      </c>
    </row>
    <row r="33" spans="1:39" ht="75" customHeight="1" x14ac:dyDescent="0.3">
      <c r="A33" s="133">
        <v>12</v>
      </c>
      <c r="B33" s="134" t="s">
        <v>72</v>
      </c>
      <c r="C33" s="148" t="s">
        <v>67</v>
      </c>
      <c r="D33" s="63" t="s">
        <v>98</v>
      </c>
      <c r="E33" s="63" t="s">
        <v>36</v>
      </c>
      <c r="F33" s="63">
        <v>23</v>
      </c>
      <c r="G33" s="32" t="s">
        <v>99</v>
      </c>
      <c r="H33" s="65">
        <v>5058.3</v>
      </c>
      <c r="I33" s="65">
        <f>F33*H33</f>
        <v>116340.90000000001</v>
      </c>
      <c r="J33" s="65" t="s">
        <v>176</v>
      </c>
      <c r="K33" s="66">
        <v>1.44</v>
      </c>
      <c r="L33" s="65">
        <f t="shared" si="13"/>
        <v>167530.89600000001</v>
      </c>
      <c r="M33" s="127">
        <f>SUM(L33:L43)</f>
        <v>240700.44284999999</v>
      </c>
      <c r="N33" s="127">
        <f>M33*0.2</f>
        <v>48140.08857</v>
      </c>
      <c r="O33" s="127">
        <f>M33+N33</f>
        <v>288840.53142000001</v>
      </c>
      <c r="P33" s="127">
        <f>O33</f>
        <v>288840.53142000001</v>
      </c>
      <c r="Q33" s="127">
        <f>SUM(W33:AC43)</f>
        <v>302704.87692816003</v>
      </c>
      <c r="R33" s="124">
        <v>1.048</v>
      </c>
      <c r="S33" s="124">
        <v>1.046</v>
      </c>
      <c r="T33" s="124">
        <v>1.046</v>
      </c>
      <c r="U33" s="124">
        <v>1.046</v>
      </c>
      <c r="V33" s="124">
        <v>1.046</v>
      </c>
      <c r="W33" s="127">
        <v>0</v>
      </c>
      <c r="X33" s="127">
        <v>0</v>
      </c>
      <c r="Y33" s="127">
        <f>O33*R33</f>
        <v>302704.87692816003</v>
      </c>
      <c r="Z33" s="127">
        <v>0</v>
      </c>
      <c r="AA33" s="127">
        <v>0</v>
      </c>
      <c r="AB33" s="127">
        <v>0</v>
      </c>
      <c r="AC33" s="127">
        <v>0</v>
      </c>
      <c r="AD33" s="127" t="e">
        <f>#REF!</f>
        <v>#REF!</v>
      </c>
      <c r="AE33" s="127" t="e">
        <f>AJ33+AI33</f>
        <v>#REF!</v>
      </c>
      <c r="AF33" s="124">
        <v>1.0740000000000001</v>
      </c>
      <c r="AG33" s="124">
        <v>1.0369999999999999</v>
      </c>
      <c r="AH33" s="124">
        <v>1.0389999999999999</v>
      </c>
      <c r="AI33" s="124">
        <v>0</v>
      </c>
      <c r="AJ33" s="127" t="e">
        <f>#REF!*AF33*AG33</f>
        <v>#REF!</v>
      </c>
      <c r="AK33" s="127" t="e">
        <f>AD33-#REF!</f>
        <v>#REF!</v>
      </c>
      <c r="AL33" s="151" t="e">
        <f>AD33-O33</f>
        <v>#REF!</v>
      </c>
      <c r="AM33" s="31">
        <f t="shared" si="18"/>
        <v>252254.06410680004</v>
      </c>
    </row>
    <row r="34" spans="1:39" ht="67.5" customHeight="1" x14ac:dyDescent="0.3">
      <c r="A34" s="133"/>
      <c r="B34" s="134"/>
      <c r="C34" s="148"/>
      <c r="D34" s="63" t="s">
        <v>100</v>
      </c>
      <c r="E34" s="63" t="s">
        <v>36</v>
      </c>
      <c r="F34" s="63">
        <v>3</v>
      </c>
      <c r="G34" s="77" t="s">
        <v>94</v>
      </c>
      <c r="H34" s="65">
        <v>5248.25</v>
      </c>
      <c r="I34" s="65">
        <f>F34*H34</f>
        <v>15744.75</v>
      </c>
      <c r="J34" s="65" t="s">
        <v>176</v>
      </c>
      <c r="K34" s="66">
        <v>1.44</v>
      </c>
      <c r="L34" s="65">
        <f>I34*K34</f>
        <v>22672.44</v>
      </c>
      <c r="M34" s="128"/>
      <c r="N34" s="128"/>
      <c r="O34" s="128"/>
      <c r="P34" s="128"/>
      <c r="Q34" s="128"/>
      <c r="R34" s="125"/>
      <c r="S34" s="125"/>
      <c r="T34" s="125"/>
      <c r="U34" s="125"/>
      <c r="V34" s="125"/>
      <c r="W34" s="128"/>
      <c r="X34" s="128"/>
      <c r="Y34" s="128"/>
      <c r="Z34" s="128"/>
      <c r="AA34" s="128"/>
      <c r="AB34" s="128"/>
      <c r="AC34" s="128"/>
      <c r="AD34" s="128"/>
      <c r="AE34" s="128"/>
      <c r="AF34" s="125"/>
      <c r="AG34" s="125"/>
      <c r="AH34" s="125"/>
      <c r="AI34" s="125"/>
      <c r="AJ34" s="128"/>
      <c r="AK34" s="128"/>
      <c r="AL34" s="152"/>
      <c r="AM34" s="31">
        <f t="shared" si="18"/>
        <v>0</v>
      </c>
    </row>
    <row r="35" spans="1:39" ht="60" x14ac:dyDescent="0.3">
      <c r="A35" s="133"/>
      <c r="B35" s="134"/>
      <c r="C35" s="148"/>
      <c r="D35" s="63" t="s">
        <v>187</v>
      </c>
      <c r="E35" s="63" t="s">
        <v>92</v>
      </c>
      <c r="F35" s="63">
        <v>1</v>
      </c>
      <c r="G35" s="77" t="s">
        <v>189</v>
      </c>
      <c r="H35" s="65">
        <v>7787.03</v>
      </c>
      <c r="I35" s="65">
        <f t="shared" ref="I35:I43" si="19">F35*H35</f>
        <v>7787.03</v>
      </c>
      <c r="J35" s="65" t="s">
        <v>188</v>
      </c>
      <c r="K35" s="66">
        <v>1.1499999999999999</v>
      </c>
      <c r="L35" s="65">
        <f t="shared" si="13"/>
        <v>8955.084499999999</v>
      </c>
      <c r="M35" s="128"/>
      <c r="N35" s="128"/>
      <c r="O35" s="128"/>
      <c r="P35" s="128"/>
      <c r="Q35" s="128"/>
      <c r="R35" s="125"/>
      <c r="S35" s="125"/>
      <c r="T35" s="125"/>
      <c r="U35" s="125"/>
      <c r="V35" s="125"/>
      <c r="W35" s="128"/>
      <c r="X35" s="128"/>
      <c r="Y35" s="128"/>
      <c r="Z35" s="128"/>
      <c r="AA35" s="128"/>
      <c r="AB35" s="128"/>
      <c r="AC35" s="128"/>
      <c r="AD35" s="128"/>
      <c r="AE35" s="128"/>
      <c r="AF35" s="125"/>
      <c r="AG35" s="125"/>
      <c r="AH35" s="125"/>
      <c r="AI35" s="125"/>
      <c r="AJ35" s="128"/>
      <c r="AK35" s="128"/>
      <c r="AL35" s="152"/>
      <c r="AM35" s="31">
        <f t="shared" si="18"/>
        <v>0</v>
      </c>
    </row>
    <row r="36" spans="1:39" ht="88.5" customHeight="1" x14ac:dyDescent="0.3">
      <c r="A36" s="133"/>
      <c r="B36" s="134"/>
      <c r="C36" s="148"/>
      <c r="D36" s="63" t="s">
        <v>173</v>
      </c>
      <c r="E36" s="63" t="s">
        <v>92</v>
      </c>
      <c r="F36" s="63">
        <v>1</v>
      </c>
      <c r="G36" s="77" t="s">
        <v>185</v>
      </c>
      <c r="H36" s="65">
        <v>2409.41</v>
      </c>
      <c r="I36" s="65">
        <f t="shared" ref="I36:I42" si="20">F36*H36</f>
        <v>2409.41</v>
      </c>
      <c r="J36" s="65" t="s">
        <v>176</v>
      </c>
      <c r="K36" s="66">
        <v>1.44</v>
      </c>
      <c r="L36" s="65">
        <f>I36*K36</f>
        <v>3469.5503999999996</v>
      </c>
      <c r="M36" s="128"/>
      <c r="N36" s="128"/>
      <c r="O36" s="128"/>
      <c r="P36" s="128"/>
      <c r="Q36" s="128"/>
      <c r="R36" s="125"/>
      <c r="S36" s="125"/>
      <c r="T36" s="125"/>
      <c r="U36" s="125"/>
      <c r="V36" s="125"/>
      <c r="W36" s="128"/>
      <c r="X36" s="128"/>
      <c r="Y36" s="128"/>
      <c r="Z36" s="128"/>
      <c r="AA36" s="128"/>
      <c r="AB36" s="128"/>
      <c r="AC36" s="128"/>
      <c r="AD36" s="128"/>
      <c r="AE36" s="128"/>
      <c r="AF36" s="125"/>
      <c r="AG36" s="125"/>
      <c r="AH36" s="125"/>
      <c r="AI36" s="125"/>
      <c r="AJ36" s="128"/>
      <c r="AK36" s="128"/>
      <c r="AL36" s="152"/>
      <c r="AM36" s="31">
        <f t="shared" si="18"/>
        <v>0</v>
      </c>
    </row>
    <row r="37" spans="1:39" ht="60" customHeight="1" x14ac:dyDescent="0.3">
      <c r="A37" s="133"/>
      <c r="B37" s="134"/>
      <c r="C37" s="148"/>
      <c r="D37" s="63" t="s">
        <v>177</v>
      </c>
      <c r="E37" s="63" t="s">
        <v>92</v>
      </c>
      <c r="F37" s="63">
        <v>2</v>
      </c>
      <c r="G37" s="77" t="s">
        <v>178</v>
      </c>
      <c r="H37" s="65">
        <v>2078.36</v>
      </c>
      <c r="I37" s="65">
        <f t="shared" si="20"/>
        <v>4156.72</v>
      </c>
      <c r="J37" s="65" t="s">
        <v>179</v>
      </c>
      <c r="K37" s="66">
        <v>1.53</v>
      </c>
      <c r="L37" s="65">
        <f t="shared" ref="L37" si="21">I37*K37</f>
        <v>6359.7816000000003</v>
      </c>
      <c r="M37" s="128"/>
      <c r="N37" s="128"/>
      <c r="O37" s="128"/>
      <c r="P37" s="128"/>
      <c r="Q37" s="128"/>
      <c r="R37" s="125"/>
      <c r="S37" s="125"/>
      <c r="T37" s="125"/>
      <c r="U37" s="125"/>
      <c r="V37" s="125"/>
      <c r="W37" s="128"/>
      <c r="X37" s="128"/>
      <c r="Y37" s="128"/>
      <c r="Z37" s="128"/>
      <c r="AA37" s="128"/>
      <c r="AB37" s="128"/>
      <c r="AC37" s="128"/>
      <c r="AD37" s="128"/>
      <c r="AE37" s="128"/>
      <c r="AF37" s="125"/>
      <c r="AG37" s="125"/>
      <c r="AH37" s="125"/>
      <c r="AI37" s="125"/>
      <c r="AJ37" s="128"/>
      <c r="AK37" s="128"/>
      <c r="AL37" s="152"/>
      <c r="AM37" s="31">
        <f t="shared" si="18"/>
        <v>0</v>
      </c>
    </row>
    <row r="38" spans="1:39" ht="60" x14ac:dyDescent="0.3">
      <c r="A38" s="133"/>
      <c r="B38" s="134"/>
      <c r="C38" s="148"/>
      <c r="D38" s="63" t="s">
        <v>183</v>
      </c>
      <c r="E38" s="63" t="s">
        <v>92</v>
      </c>
      <c r="F38" s="63">
        <v>1</v>
      </c>
      <c r="G38" s="77" t="s">
        <v>184</v>
      </c>
      <c r="H38" s="65">
        <v>5649.95</v>
      </c>
      <c r="I38" s="65">
        <f t="shared" si="20"/>
        <v>5649.95</v>
      </c>
      <c r="J38" s="65" t="s">
        <v>179</v>
      </c>
      <c r="K38" s="66">
        <v>1.53</v>
      </c>
      <c r="L38" s="65">
        <f t="shared" si="13"/>
        <v>8644.423499999999</v>
      </c>
      <c r="M38" s="128"/>
      <c r="N38" s="128"/>
      <c r="O38" s="128"/>
      <c r="P38" s="128"/>
      <c r="Q38" s="128"/>
      <c r="R38" s="125"/>
      <c r="S38" s="125"/>
      <c r="T38" s="125"/>
      <c r="U38" s="125"/>
      <c r="V38" s="125"/>
      <c r="W38" s="128"/>
      <c r="X38" s="128"/>
      <c r="Y38" s="128"/>
      <c r="Z38" s="128"/>
      <c r="AA38" s="128"/>
      <c r="AB38" s="128"/>
      <c r="AC38" s="128"/>
      <c r="AD38" s="128"/>
      <c r="AE38" s="128"/>
      <c r="AF38" s="125"/>
      <c r="AG38" s="125"/>
      <c r="AH38" s="125"/>
      <c r="AI38" s="125"/>
      <c r="AJ38" s="128"/>
      <c r="AK38" s="128"/>
      <c r="AL38" s="152"/>
      <c r="AM38" s="31">
        <f t="shared" si="18"/>
        <v>0</v>
      </c>
    </row>
    <row r="39" spans="1:39" ht="41.25" customHeight="1" x14ac:dyDescent="0.3">
      <c r="A39" s="133"/>
      <c r="B39" s="134"/>
      <c r="C39" s="148"/>
      <c r="D39" s="63" t="s">
        <v>105</v>
      </c>
      <c r="E39" s="63" t="s">
        <v>33</v>
      </c>
      <c r="F39" s="63">
        <v>1.65</v>
      </c>
      <c r="G39" s="77" t="s">
        <v>106</v>
      </c>
      <c r="H39" s="65">
        <v>291.14</v>
      </c>
      <c r="I39" s="65">
        <f t="shared" ref="I39" si="22">F39*H39</f>
        <v>480.38099999999997</v>
      </c>
      <c r="J39" s="65" t="s">
        <v>186</v>
      </c>
      <c r="K39" s="66">
        <v>1.55</v>
      </c>
      <c r="L39" s="65">
        <f>I39*K39</f>
        <v>744.59055000000001</v>
      </c>
      <c r="M39" s="128"/>
      <c r="N39" s="128"/>
      <c r="O39" s="128"/>
      <c r="P39" s="128"/>
      <c r="Q39" s="128"/>
      <c r="R39" s="125"/>
      <c r="S39" s="125"/>
      <c r="T39" s="125"/>
      <c r="U39" s="125"/>
      <c r="V39" s="125"/>
      <c r="W39" s="128"/>
      <c r="X39" s="128"/>
      <c r="Y39" s="128"/>
      <c r="Z39" s="128"/>
      <c r="AA39" s="128"/>
      <c r="AB39" s="128"/>
      <c r="AC39" s="128"/>
      <c r="AD39" s="128"/>
      <c r="AE39" s="128"/>
      <c r="AF39" s="125"/>
      <c r="AG39" s="125"/>
      <c r="AH39" s="125"/>
      <c r="AI39" s="125"/>
      <c r="AJ39" s="128"/>
      <c r="AK39" s="128"/>
      <c r="AL39" s="152"/>
      <c r="AM39" s="31">
        <f t="shared" si="18"/>
        <v>0</v>
      </c>
    </row>
    <row r="40" spans="1:39" ht="41.25" customHeight="1" x14ac:dyDescent="0.3">
      <c r="A40" s="133"/>
      <c r="B40" s="134"/>
      <c r="C40" s="148"/>
      <c r="D40" s="63" t="s">
        <v>107</v>
      </c>
      <c r="E40" s="63" t="s">
        <v>33</v>
      </c>
      <c r="F40" s="63">
        <v>1.7</v>
      </c>
      <c r="G40" s="77" t="s">
        <v>108</v>
      </c>
      <c r="H40" s="65">
        <v>324.64</v>
      </c>
      <c r="I40" s="65">
        <f t="shared" si="20"/>
        <v>551.88799999999992</v>
      </c>
      <c r="J40" s="65" t="s">
        <v>186</v>
      </c>
      <c r="K40" s="66">
        <v>1.55</v>
      </c>
      <c r="L40" s="65">
        <f>I40*K40</f>
        <v>855.42639999999994</v>
      </c>
      <c r="M40" s="128"/>
      <c r="N40" s="128"/>
      <c r="O40" s="128"/>
      <c r="P40" s="128"/>
      <c r="Q40" s="128"/>
      <c r="R40" s="125"/>
      <c r="S40" s="125"/>
      <c r="T40" s="125"/>
      <c r="U40" s="125"/>
      <c r="V40" s="125"/>
      <c r="W40" s="128"/>
      <c r="X40" s="128"/>
      <c r="Y40" s="128"/>
      <c r="Z40" s="128"/>
      <c r="AA40" s="128"/>
      <c r="AB40" s="128"/>
      <c r="AC40" s="128"/>
      <c r="AD40" s="128"/>
      <c r="AE40" s="128"/>
      <c r="AF40" s="125"/>
      <c r="AG40" s="125"/>
      <c r="AH40" s="125"/>
      <c r="AI40" s="125"/>
      <c r="AJ40" s="128"/>
      <c r="AK40" s="128"/>
      <c r="AL40" s="152"/>
      <c r="AM40" s="31">
        <f t="shared" si="18"/>
        <v>0</v>
      </c>
    </row>
    <row r="41" spans="1:39" ht="41.25" customHeight="1" x14ac:dyDescent="0.3">
      <c r="A41" s="133"/>
      <c r="B41" s="134"/>
      <c r="C41" s="148"/>
      <c r="D41" s="63" t="s">
        <v>102</v>
      </c>
      <c r="E41" s="63" t="s">
        <v>92</v>
      </c>
      <c r="F41" s="63">
        <v>21</v>
      </c>
      <c r="G41" s="77" t="s">
        <v>37</v>
      </c>
      <c r="H41" s="65">
        <v>330.05</v>
      </c>
      <c r="I41" s="65">
        <f t="shared" ref="I41" si="23">F41*H41</f>
        <v>6931.05</v>
      </c>
      <c r="J41" s="65" t="s">
        <v>182</v>
      </c>
      <c r="K41" s="66">
        <v>1.55</v>
      </c>
      <c r="L41" s="65">
        <f t="shared" si="13"/>
        <v>10743.127500000001</v>
      </c>
      <c r="M41" s="128"/>
      <c r="N41" s="128"/>
      <c r="O41" s="128"/>
      <c r="P41" s="128"/>
      <c r="Q41" s="128"/>
      <c r="R41" s="125"/>
      <c r="S41" s="125"/>
      <c r="T41" s="125"/>
      <c r="U41" s="125"/>
      <c r="V41" s="125"/>
      <c r="W41" s="128"/>
      <c r="X41" s="128"/>
      <c r="Y41" s="128"/>
      <c r="Z41" s="128"/>
      <c r="AA41" s="128"/>
      <c r="AB41" s="128"/>
      <c r="AC41" s="128"/>
      <c r="AD41" s="128"/>
      <c r="AE41" s="128"/>
      <c r="AF41" s="125"/>
      <c r="AG41" s="125"/>
      <c r="AH41" s="125"/>
      <c r="AI41" s="125"/>
      <c r="AJ41" s="128"/>
      <c r="AK41" s="128"/>
      <c r="AL41" s="152"/>
      <c r="AM41" s="31">
        <f t="shared" si="18"/>
        <v>0</v>
      </c>
    </row>
    <row r="42" spans="1:39" ht="26.25" customHeight="1" x14ac:dyDescent="0.3">
      <c r="A42" s="133"/>
      <c r="B42" s="134"/>
      <c r="C42" s="148"/>
      <c r="D42" s="63" t="s">
        <v>174</v>
      </c>
      <c r="E42" s="63" t="s">
        <v>92</v>
      </c>
      <c r="F42" s="63">
        <v>1</v>
      </c>
      <c r="G42" s="77" t="s">
        <v>101</v>
      </c>
      <c r="H42" s="65">
        <v>2100.08</v>
      </c>
      <c r="I42" s="65">
        <f t="shared" si="20"/>
        <v>2100.08</v>
      </c>
      <c r="J42" s="65" t="s">
        <v>176</v>
      </c>
      <c r="K42" s="66">
        <v>1.53</v>
      </c>
      <c r="L42" s="65">
        <f t="shared" ref="L42" si="24">I42*K42</f>
        <v>3213.1223999999997</v>
      </c>
      <c r="M42" s="128"/>
      <c r="N42" s="128"/>
      <c r="O42" s="128"/>
      <c r="P42" s="128"/>
      <c r="Q42" s="128"/>
      <c r="R42" s="125"/>
      <c r="S42" s="125"/>
      <c r="T42" s="125"/>
      <c r="U42" s="125"/>
      <c r="V42" s="125"/>
      <c r="W42" s="128"/>
      <c r="X42" s="128"/>
      <c r="Y42" s="128"/>
      <c r="Z42" s="128"/>
      <c r="AA42" s="128"/>
      <c r="AB42" s="128"/>
      <c r="AC42" s="128"/>
      <c r="AD42" s="128"/>
      <c r="AE42" s="128"/>
      <c r="AF42" s="125"/>
      <c r="AG42" s="125"/>
      <c r="AH42" s="125"/>
      <c r="AI42" s="125"/>
      <c r="AJ42" s="128"/>
      <c r="AK42" s="128"/>
      <c r="AL42" s="152"/>
      <c r="AM42" s="31">
        <f t="shared" si="18"/>
        <v>0</v>
      </c>
    </row>
    <row r="43" spans="1:39" ht="26.25" customHeight="1" x14ac:dyDescent="0.3">
      <c r="A43" s="133"/>
      <c r="B43" s="134"/>
      <c r="C43" s="148"/>
      <c r="D43" s="63" t="s">
        <v>95</v>
      </c>
      <c r="E43" s="63" t="s">
        <v>96</v>
      </c>
      <c r="F43" s="63">
        <v>1200</v>
      </c>
      <c r="G43" s="77" t="s">
        <v>97</v>
      </c>
      <c r="H43" s="66">
        <v>6.26</v>
      </c>
      <c r="I43" s="65">
        <f t="shared" si="19"/>
        <v>7512</v>
      </c>
      <c r="J43" s="65" t="s">
        <v>35</v>
      </c>
      <c r="K43" s="66" t="s">
        <v>35</v>
      </c>
      <c r="L43" s="65">
        <f>I43</f>
        <v>7512</v>
      </c>
      <c r="M43" s="128"/>
      <c r="N43" s="128"/>
      <c r="O43" s="128"/>
      <c r="P43" s="129"/>
      <c r="Q43" s="129"/>
      <c r="R43" s="125"/>
      <c r="S43" s="125"/>
      <c r="T43" s="125"/>
      <c r="U43" s="125"/>
      <c r="V43" s="125"/>
      <c r="W43" s="128"/>
      <c r="X43" s="128"/>
      <c r="Y43" s="128"/>
      <c r="Z43" s="128"/>
      <c r="AA43" s="128"/>
      <c r="AB43" s="128"/>
      <c r="AC43" s="128"/>
      <c r="AD43" s="128"/>
      <c r="AE43" s="128"/>
      <c r="AF43" s="125"/>
      <c r="AG43" s="125"/>
      <c r="AH43" s="125"/>
      <c r="AI43" s="125"/>
      <c r="AJ43" s="128"/>
      <c r="AK43" s="128"/>
      <c r="AL43" s="152"/>
      <c r="AM43" s="31">
        <f t="shared" si="18"/>
        <v>0</v>
      </c>
    </row>
    <row r="44" spans="1:39" ht="99" customHeight="1" x14ac:dyDescent="0.3">
      <c r="A44" s="133">
        <v>13</v>
      </c>
      <c r="B44" s="134" t="s">
        <v>73</v>
      </c>
      <c r="C44" s="148" t="s">
        <v>67</v>
      </c>
      <c r="D44" s="63" t="s">
        <v>88</v>
      </c>
      <c r="E44" s="63" t="s">
        <v>36</v>
      </c>
      <c r="F44" s="63">
        <v>5</v>
      </c>
      <c r="G44" s="32" t="s">
        <v>89</v>
      </c>
      <c r="H44" s="65">
        <v>27469.919999999998</v>
      </c>
      <c r="I44" s="65">
        <f t="shared" ref="I44:I64" si="25">F44*H44</f>
        <v>137349.59999999998</v>
      </c>
      <c r="J44" s="65" t="s">
        <v>176</v>
      </c>
      <c r="K44" s="66">
        <v>1.44</v>
      </c>
      <c r="L44" s="65">
        <f>I44*K44</f>
        <v>197783.42399999997</v>
      </c>
      <c r="M44" s="127">
        <f>SUM(L44:L53)</f>
        <v>387115.25739999994</v>
      </c>
      <c r="N44" s="127">
        <f>M44*0.2</f>
        <v>77423.051479999995</v>
      </c>
      <c r="O44" s="127">
        <f>M44+N44</f>
        <v>464538.30887999991</v>
      </c>
      <c r="P44" s="127">
        <f>O44</f>
        <v>464538.30887999991</v>
      </c>
      <c r="Q44" s="127">
        <f>SUM(W44:AC53)</f>
        <v>540322.05309675634</v>
      </c>
      <c r="R44" s="124">
        <v>1.048</v>
      </c>
      <c r="S44" s="124">
        <v>1.046</v>
      </c>
      <c r="T44" s="124">
        <v>1.046</v>
      </c>
      <c r="U44" s="124">
        <v>1.046</v>
      </c>
      <c r="V44" s="124">
        <v>1.046</v>
      </c>
      <c r="W44" s="127">
        <v>0</v>
      </c>
      <c r="X44" s="127">
        <v>0</v>
      </c>
      <c r="Y44" s="127">
        <f>L53*1.2*R44</f>
        <v>12905.076191999999</v>
      </c>
      <c r="Z44" s="127">
        <v>0</v>
      </c>
      <c r="AA44" s="127">
        <f>SUM(L44:L50)*1.2*R44*S44*T44</f>
        <v>325461.46685213433</v>
      </c>
      <c r="AB44" s="127">
        <f>(L51+L52)*1.2*R44*S44*T44*U44</f>
        <v>201955.510052622</v>
      </c>
      <c r="AC44" s="127">
        <v>0</v>
      </c>
      <c r="AD44" s="127" t="e">
        <f>#REF!</f>
        <v>#REF!</v>
      </c>
      <c r="AE44" s="127" t="e">
        <f>AJ44+AI44</f>
        <v>#REF!</v>
      </c>
      <c r="AF44" s="124">
        <v>1.0740000000000001</v>
      </c>
      <c r="AG44" s="124">
        <v>1.0369999999999999</v>
      </c>
      <c r="AH44" s="124">
        <v>1.0389999999999999</v>
      </c>
      <c r="AI44" s="124">
        <v>0</v>
      </c>
      <c r="AJ44" s="127" t="e">
        <f>#REF!*AF44*AG44</f>
        <v>#REF!</v>
      </c>
      <c r="AK44" s="127" t="e">
        <f>AD44-#REF!</f>
        <v>#REF!</v>
      </c>
      <c r="AL44" s="151" t="e">
        <f>AD44-O44</f>
        <v>#REF!</v>
      </c>
      <c r="AM44" s="31">
        <f t="shared" si="18"/>
        <v>450268.3775806303</v>
      </c>
    </row>
    <row r="45" spans="1:39" ht="90.75" customHeight="1" x14ac:dyDescent="0.3">
      <c r="A45" s="133"/>
      <c r="B45" s="134"/>
      <c r="C45" s="148"/>
      <c r="D45" s="63" t="s">
        <v>187</v>
      </c>
      <c r="E45" s="63" t="s">
        <v>92</v>
      </c>
      <c r="F45" s="63">
        <v>1</v>
      </c>
      <c r="G45" s="77" t="s">
        <v>189</v>
      </c>
      <c r="H45" s="65">
        <v>7787.03</v>
      </c>
      <c r="I45" s="65">
        <f t="shared" si="25"/>
        <v>7787.03</v>
      </c>
      <c r="J45" s="65" t="s">
        <v>188</v>
      </c>
      <c r="K45" s="66">
        <v>1.1499999999999999</v>
      </c>
      <c r="L45" s="65">
        <f t="shared" ref="L45" si="26">I45*K45</f>
        <v>8955.084499999999</v>
      </c>
      <c r="M45" s="128"/>
      <c r="N45" s="128"/>
      <c r="O45" s="128"/>
      <c r="P45" s="128"/>
      <c r="Q45" s="128"/>
      <c r="R45" s="125"/>
      <c r="S45" s="125"/>
      <c r="T45" s="125"/>
      <c r="U45" s="125"/>
      <c r="V45" s="125"/>
      <c r="W45" s="128"/>
      <c r="X45" s="128"/>
      <c r="Y45" s="128"/>
      <c r="Z45" s="128"/>
      <c r="AA45" s="128"/>
      <c r="AB45" s="128"/>
      <c r="AC45" s="128"/>
      <c r="AD45" s="128"/>
      <c r="AE45" s="128"/>
      <c r="AF45" s="125"/>
      <c r="AG45" s="125"/>
      <c r="AH45" s="125"/>
      <c r="AI45" s="125"/>
      <c r="AJ45" s="128"/>
      <c r="AK45" s="128"/>
      <c r="AL45" s="152"/>
      <c r="AM45" s="31">
        <f t="shared" si="18"/>
        <v>0</v>
      </c>
    </row>
    <row r="46" spans="1:39" ht="69.75" customHeight="1" x14ac:dyDescent="0.3">
      <c r="A46" s="133"/>
      <c r="B46" s="134"/>
      <c r="C46" s="148"/>
      <c r="D46" s="63" t="s">
        <v>173</v>
      </c>
      <c r="E46" s="63" t="s">
        <v>92</v>
      </c>
      <c r="F46" s="63">
        <v>1</v>
      </c>
      <c r="G46" s="77" t="s">
        <v>185</v>
      </c>
      <c r="H46" s="65">
        <v>2409.41</v>
      </c>
      <c r="I46" s="65">
        <f t="shared" si="25"/>
        <v>2409.41</v>
      </c>
      <c r="J46" s="65" t="s">
        <v>176</v>
      </c>
      <c r="K46" s="66">
        <v>1.44</v>
      </c>
      <c r="L46" s="65">
        <f>I46*K46</f>
        <v>3469.5503999999996</v>
      </c>
      <c r="M46" s="128"/>
      <c r="N46" s="128"/>
      <c r="O46" s="128"/>
      <c r="P46" s="128"/>
      <c r="Q46" s="128"/>
      <c r="R46" s="125"/>
      <c r="S46" s="125"/>
      <c r="T46" s="125"/>
      <c r="U46" s="125"/>
      <c r="V46" s="125"/>
      <c r="W46" s="128"/>
      <c r="X46" s="128"/>
      <c r="Y46" s="128"/>
      <c r="Z46" s="128"/>
      <c r="AA46" s="128"/>
      <c r="AB46" s="128"/>
      <c r="AC46" s="128"/>
      <c r="AD46" s="128"/>
      <c r="AE46" s="128"/>
      <c r="AF46" s="125"/>
      <c r="AG46" s="125"/>
      <c r="AH46" s="125"/>
      <c r="AI46" s="125"/>
      <c r="AJ46" s="128"/>
      <c r="AK46" s="128"/>
      <c r="AL46" s="152"/>
      <c r="AM46" s="31">
        <f t="shared" si="18"/>
        <v>0</v>
      </c>
    </row>
    <row r="47" spans="1:39" ht="81.75" customHeight="1" x14ac:dyDescent="0.3">
      <c r="A47" s="133"/>
      <c r="B47" s="134"/>
      <c r="C47" s="148"/>
      <c r="D47" s="63" t="s">
        <v>177</v>
      </c>
      <c r="E47" s="63" t="s">
        <v>92</v>
      </c>
      <c r="F47" s="63">
        <v>2</v>
      </c>
      <c r="G47" s="77" t="s">
        <v>178</v>
      </c>
      <c r="H47" s="65">
        <v>2078.36</v>
      </c>
      <c r="I47" s="65">
        <f t="shared" si="25"/>
        <v>4156.72</v>
      </c>
      <c r="J47" s="65" t="s">
        <v>179</v>
      </c>
      <c r="K47" s="66">
        <v>1.53</v>
      </c>
      <c r="L47" s="65">
        <f t="shared" ref="L47:L51" si="27">I47*K47</f>
        <v>6359.7816000000003</v>
      </c>
      <c r="M47" s="128"/>
      <c r="N47" s="128"/>
      <c r="O47" s="128"/>
      <c r="P47" s="128"/>
      <c r="Q47" s="128"/>
      <c r="R47" s="125"/>
      <c r="S47" s="125"/>
      <c r="T47" s="125"/>
      <c r="U47" s="125"/>
      <c r="V47" s="125"/>
      <c r="W47" s="128"/>
      <c r="X47" s="128"/>
      <c r="Y47" s="128"/>
      <c r="Z47" s="128"/>
      <c r="AA47" s="128"/>
      <c r="AB47" s="128"/>
      <c r="AC47" s="128"/>
      <c r="AD47" s="128"/>
      <c r="AE47" s="128"/>
      <c r="AF47" s="125"/>
      <c r="AG47" s="125"/>
      <c r="AH47" s="125"/>
      <c r="AI47" s="125"/>
      <c r="AJ47" s="128"/>
      <c r="AK47" s="128"/>
      <c r="AL47" s="152"/>
      <c r="AM47" s="31">
        <f t="shared" si="18"/>
        <v>0</v>
      </c>
    </row>
    <row r="48" spans="1:39" ht="79.5" customHeight="1" x14ac:dyDescent="0.3">
      <c r="A48" s="133"/>
      <c r="B48" s="134"/>
      <c r="C48" s="148"/>
      <c r="D48" s="63" t="s">
        <v>183</v>
      </c>
      <c r="E48" s="63" t="s">
        <v>92</v>
      </c>
      <c r="F48" s="63">
        <v>1</v>
      </c>
      <c r="G48" s="77" t="s">
        <v>184</v>
      </c>
      <c r="H48" s="65">
        <v>5649.95</v>
      </c>
      <c r="I48" s="65">
        <f t="shared" si="25"/>
        <v>5649.95</v>
      </c>
      <c r="J48" s="65" t="s">
        <v>179</v>
      </c>
      <c r="K48" s="66">
        <v>1.53</v>
      </c>
      <c r="L48" s="65">
        <f t="shared" si="27"/>
        <v>8644.423499999999</v>
      </c>
      <c r="M48" s="128"/>
      <c r="N48" s="128"/>
      <c r="O48" s="128"/>
      <c r="P48" s="128"/>
      <c r="Q48" s="128"/>
      <c r="R48" s="125"/>
      <c r="S48" s="125"/>
      <c r="T48" s="125"/>
      <c r="U48" s="125"/>
      <c r="V48" s="125"/>
      <c r="W48" s="128"/>
      <c r="X48" s="128"/>
      <c r="Y48" s="128"/>
      <c r="Z48" s="128"/>
      <c r="AA48" s="128"/>
      <c r="AB48" s="128"/>
      <c r="AC48" s="128"/>
      <c r="AD48" s="128"/>
      <c r="AE48" s="128"/>
      <c r="AF48" s="125"/>
      <c r="AG48" s="125"/>
      <c r="AH48" s="125"/>
      <c r="AI48" s="125"/>
      <c r="AJ48" s="128"/>
      <c r="AK48" s="128"/>
      <c r="AL48" s="152"/>
      <c r="AM48" s="31">
        <f t="shared" si="18"/>
        <v>0</v>
      </c>
    </row>
    <row r="49" spans="1:39" ht="79.5" customHeight="1" x14ac:dyDescent="0.3">
      <c r="A49" s="133"/>
      <c r="B49" s="134"/>
      <c r="C49" s="148"/>
      <c r="D49" s="63" t="s">
        <v>111</v>
      </c>
      <c r="E49" s="63" t="s">
        <v>92</v>
      </c>
      <c r="F49" s="63">
        <v>5</v>
      </c>
      <c r="G49" s="77" t="s">
        <v>110</v>
      </c>
      <c r="H49" s="65">
        <v>1046.28</v>
      </c>
      <c r="I49" s="65">
        <f t="shared" si="25"/>
        <v>5231.3999999999996</v>
      </c>
      <c r="J49" s="65" t="s">
        <v>182</v>
      </c>
      <c r="K49" s="66">
        <v>1.55</v>
      </c>
      <c r="L49" s="65">
        <f t="shared" si="27"/>
        <v>8108.67</v>
      </c>
      <c r="M49" s="128"/>
      <c r="N49" s="128"/>
      <c r="O49" s="128"/>
      <c r="P49" s="128"/>
      <c r="Q49" s="128"/>
      <c r="R49" s="125"/>
      <c r="S49" s="125"/>
      <c r="T49" s="125"/>
      <c r="U49" s="125"/>
      <c r="V49" s="125"/>
      <c r="W49" s="128"/>
      <c r="X49" s="128"/>
      <c r="Y49" s="128"/>
      <c r="Z49" s="128"/>
      <c r="AA49" s="128"/>
      <c r="AB49" s="128"/>
      <c r="AC49" s="128"/>
      <c r="AD49" s="128"/>
      <c r="AE49" s="128"/>
      <c r="AF49" s="125"/>
      <c r="AG49" s="125"/>
      <c r="AH49" s="125"/>
      <c r="AI49" s="125"/>
      <c r="AJ49" s="128"/>
      <c r="AK49" s="128"/>
      <c r="AL49" s="152"/>
      <c r="AM49" s="31">
        <f t="shared" si="18"/>
        <v>0</v>
      </c>
    </row>
    <row r="50" spans="1:39" ht="79.5" customHeight="1" x14ac:dyDescent="0.3">
      <c r="A50" s="133"/>
      <c r="B50" s="134"/>
      <c r="C50" s="148"/>
      <c r="D50" s="63" t="s">
        <v>174</v>
      </c>
      <c r="E50" s="63" t="s">
        <v>92</v>
      </c>
      <c r="F50" s="63">
        <v>1</v>
      </c>
      <c r="G50" s="77" t="s">
        <v>101</v>
      </c>
      <c r="H50" s="65">
        <v>2100.08</v>
      </c>
      <c r="I50" s="65">
        <f t="shared" si="25"/>
        <v>2100.08</v>
      </c>
      <c r="J50" s="65" t="s">
        <v>176</v>
      </c>
      <c r="K50" s="66">
        <v>1.53</v>
      </c>
      <c r="L50" s="65">
        <f t="shared" si="27"/>
        <v>3213.1223999999997</v>
      </c>
      <c r="M50" s="128"/>
      <c r="N50" s="128"/>
      <c r="O50" s="128"/>
      <c r="P50" s="128"/>
      <c r="Q50" s="128"/>
      <c r="R50" s="125"/>
      <c r="S50" s="125"/>
      <c r="T50" s="125"/>
      <c r="U50" s="125"/>
      <c r="V50" s="125"/>
      <c r="W50" s="128"/>
      <c r="X50" s="128"/>
      <c r="Y50" s="128"/>
      <c r="Z50" s="128"/>
      <c r="AA50" s="128"/>
      <c r="AB50" s="128"/>
      <c r="AC50" s="128"/>
      <c r="AD50" s="128"/>
      <c r="AE50" s="128"/>
      <c r="AF50" s="125"/>
      <c r="AG50" s="125"/>
      <c r="AH50" s="125"/>
      <c r="AI50" s="125"/>
      <c r="AJ50" s="128"/>
      <c r="AK50" s="128"/>
      <c r="AL50" s="152"/>
      <c r="AM50" s="31">
        <f t="shared" si="18"/>
        <v>0</v>
      </c>
    </row>
    <row r="51" spans="1:39" ht="79.5" customHeight="1" x14ac:dyDescent="0.3">
      <c r="A51" s="133"/>
      <c r="B51" s="134"/>
      <c r="C51" s="148"/>
      <c r="D51" s="63" t="s">
        <v>91</v>
      </c>
      <c r="E51" s="63" t="s">
        <v>36</v>
      </c>
      <c r="F51" s="63">
        <v>18</v>
      </c>
      <c r="G51" s="77" t="s">
        <v>90</v>
      </c>
      <c r="H51" s="65">
        <v>5058.3</v>
      </c>
      <c r="I51" s="65">
        <f>F51*H51</f>
        <v>91049.400000000009</v>
      </c>
      <c r="J51" s="65" t="s">
        <v>176</v>
      </c>
      <c r="K51" s="66">
        <v>1.44</v>
      </c>
      <c r="L51" s="65">
        <f t="shared" si="27"/>
        <v>131111.136</v>
      </c>
      <c r="M51" s="128"/>
      <c r="N51" s="128"/>
      <c r="O51" s="128"/>
      <c r="P51" s="128"/>
      <c r="Q51" s="128"/>
      <c r="R51" s="125"/>
      <c r="S51" s="125"/>
      <c r="T51" s="125"/>
      <c r="U51" s="125"/>
      <c r="V51" s="125"/>
      <c r="W51" s="128"/>
      <c r="X51" s="128"/>
      <c r="Y51" s="128"/>
      <c r="Z51" s="128"/>
      <c r="AA51" s="128"/>
      <c r="AB51" s="128"/>
      <c r="AC51" s="128"/>
      <c r="AD51" s="128"/>
      <c r="AE51" s="128"/>
      <c r="AF51" s="125"/>
      <c r="AG51" s="125"/>
      <c r="AH51" s="125"/>
      <c r="AI51" s="125"/>
      <c r="AJ51" s="128"/>
      <c r="AK51" s="128"/>
      <c r="AL51" s="152"/>
      <c r="AM51" s="31">
        <f t="shared" si="18"/>
        <v>0</v>
      </c>
    </row>
    <row r="52" spans="1:39" ht="79.5" customHeight="1" x14ac:dyDescent="0.3">
      <c r="A52" s="133"/>
      <c r="B52" s="134"/>
      <c r="C52" s="148"/>
      <c r="D52" s="63" t="s">
        <v>102</v>
      </c>
      <c r="E52" s="63" t="s">
        <v>92</v>
      </c>
      <c r="F52" s="63">
        <v>18</v>
      </c>
      <c r="G52" s="77" t="s">
        <v>37</v>
      </c>
      <c r="H52" s="65">
        <v>330.05</v>
      </c>
      <c r="I52" s="65">
        <f t="shared" si="25"/>
        <v>5940.9000000000005</v>
      </c>
      <c r="J52" s="65" t="s">
        <v>182</v>
      </c>
      <c r="K52" s="66">
        <v>1.55</v>
      </c>
      <c r="L52" s="65">
        <f t="shared" ref="L52" si="28">I52*K52</f>
        <v>9208.3950000000004</v>
      </c>
      <c r="M52" s="128"/>
      <c r="N52" s="128"/>
      <c r="O52" s="128"/>
      <c r="P52" s="128"/>
      <c r="Q52" s="128"/>
      <c r="R52" s="125"/>
      <c r="S52" s="125"/>
      <c r="T52" s="125"/>
      <c r="U52" s="125"/>
      <c r="V52" s="125"/>
      <c r="W52" s="128"/>
      <c r="X52" s="128"/>
      <c r="Y52" s="128"/>
      <c r="Z52" s="128"/>
      <c r="AA52" s="128"/>
      <c r="AB52" s="128"/>
      <c r="AC52" s="128"/>
      <c r="AD52" s="128"/>
      <c r="AE52" s="128"/>
      <c r="AF52" s="125"/>
      <c r="AG52" s="125"/>
      <c r="AH52" s="125"/>
      <c r="AI52" s="125"/>
      <c r="AJ52" s="128"/>
      <c r="AK52" s="128"/>
      <c r="AL52" s="152"/>
      <c r="AM52" s="31">
        <f t="shared" si="18"/>
        <v>0</v>
      </c>
    </row>
    <row r="53" spans="1:39" ht="44.25" customHeight="1" x14ac:dyDescent="0.3">
      <c r="A53" s="133"/>
      <c r="B53" s="134"/>
      <c r="C53" s="148"/>
      <c r="D53" s="63" t="s">
        <v>170</v>
      </c>
      <c r="E53" s="63" t="s">
        <v>38</v>
      </c>
      <c r="F53" s="63">
        <v>1</v>
      </c>
      <c r="G53" s="77" t="s">
        <v>172</v>
      </c>
      <c r="H53" s="65">
        <v>10261.67</v>
      </c>
      <c r="I53" s="65">
        <f t="shared" si="25"/>
        <v>10261.67</v>
      </c>
      <c r="J53" s="65" t="s">
        <v>35</v>
      </c>
      <c r="K53" s="65" t="s">
        <v>35</v>
      </c>
      <c r="L53" s="65">
        <f>I53</f>
        <v>10261.67</v>
      </c>
      <c r="M53" s="129"/>
      <c r="N53" s="129"/>
      <c r="O53" s="129"/>
      <c r="P53" s="129"/>
      <c r="Q53" s="129"/>
      <c r="R53" s="126"/>
      <c r="S53" s="126"/>
      <c r="T53" s="126"/>
      <c r="U53" s="126"/>
      <c r="V53" s="126"/>
      <c r="W53" s="129"/>
      <c r="X53" s="129"/>
      <c r="Y53" s="129"/>
      <c r="Z53" s="129"/>
      <c r="AA53" s="129"/>
      <c r="AB53" s="129"/>
      <c r="AC53" s="129"/>
      <c r="AD53" s="129"/>
      <c r="AE53" s="129"/>
      <c r="AF53" s="126"/>
      <c r="AG53" s="126"/>
      <c r="AH53" s="126"/>
      <c r="AI53" s="126"/>
      <c r="AJ53" s="129"/>
      <c r="AK53" s="129"/>
      <c r="AL53" s="153"/>
      <c r="AM53" s="31">
        <f t="shared" si="18"/>
        <v>0</v>
      </c>
    </row>
    <row r="54" spans="1:39" ht="70.5" customHeight="1" x14ac:dyDescent="0.3">
      <c r="A54" s="133">
        <v>14</v>
      </c>
      <c r="B54" s="134" t="s">
        <v>74</v>
      </c>
      <c r="C54" s="150" t="s">
        <v>67</v>
      </c>
      <c r="D54" s="63" t="s">
        <v>88</v>
      </c>
      <c r="E54" s="63" t="s">
        <v>36</v>
      </c>
      <c r="F54" s="63">
        <v>3</v>
      </c>
      <c r="G54" s="32" t="s">
        <v>89</v>
      </c>
      <c r="H54" s="65">
        <v>27469.919999999998</v>
      </c>
      <c r="I54" s="65">
        <f t="shared" ref="I54" si="29">F54*H54</f>
        <v>82409.759999999995</v>
      </c>
      <c r="J54" s="65" t="s">
        <v>176</v>
      </c>
      <c r="K54" s="66">
        <v>1.44</v>
      </c>
      <c r="L54" s="65">
        <f>I54*K54</f>
        <v>118670.05439999999</v>
      </c>
      <c r="M54" s="127">
        <f>SUM(L54:L56)</f>
        <v>150783.58040000001</v>
      </c>
      <c r="N54" s="127">
        <f>M54*0.2</f>
        <v>30156.716080000002</v>
      </c>
      <c r="O54" s="127">
        <f>M54+N54</f>
        <v>180940.29648000002</v>
      </c>
      <c r="P54" s="127">
        <f>O54</f>
        <v>180940.29648000002</v>
      </c>
      <c r="Q54" s="127">
        <f>SUM(W54:AC56)</f>
        <v>206851.27710178596</v>
      </c>
      <c r="R54" s="124">
        <v>1.048</v>
      </c>
      <c r="S54" s="124">
        <v>1.046</v>
      </c>
      <c r="T54" s="124">
        <v>1.046</v>
      </c>
      <c r="U54" s="124">
        <v>1.046</v>
      </c>
      <c r="V54" s="124">
        <v>1.046</v>
      </c>
      <c r="W54" s="127">
        <v>0</v>
      </c>
      <c r="X54" s="127">
        <v>0</v>
      </c>
      <c r="Y54" s="127">
        <v>0</v>
      </c>
      <c r="Z54" s="127">
        <f>L56*R54*S54*1.2</f>
        <v>13498.709696832</v>
      </c>
      <c r="AA54" s="127">
        <f>SUM(L54:L55)*1.2*R54*S54*T54</f>
        <v>193352.56740495397</v>
      </c>
      <c r="AB54" s="127">
        <v>0</v>
      </c>
      <c r="AC54" s="127">
        <v>0</v>
      </c>
      <c r="AD54" s="127" t="e">
        <f>#REF!</f>
        <v>#REF!</v>
      </c>
      <c r="AE54" s="127" t="e">
        <f>AJ54+AI54</f>
        <v>#REF!</v>
      </c>
      <c r="AF54" s="124">
        <v>1.0740000000000001</v>
      </c>
      <c r="AG54" s="124">
        <v>1.0369999999999999</v>
      </c>
      <c r="AH54" s="124">
        <v>1.0389999999999999</v>
      </c>
      <c r="AI54" s="124">
        <v>0</v>
      </c>
      <c r="AJ54" s="127" t="e">
        <f>#REF!*AF54*AG54</f>
        <v>#REF!</v>
      </c>
      <c r="AK54" s="127" t="e">
        <f>AD54-#REF!</f>
        <v>#REF!</v>
      </c>
      <c r="AL54" s="151" t="e">
        <f>AD54-O54</f>
        <v>#REF!</v>
      </c>
      <c r="AM54" s="31">
        <f t="shared" si="18"/>
        <v>172376.06425148831</v>
      </c>
    </row>
    <row r="55" spans="1:39" ht="90.75" customHeight="1" x14ac:dyDescent="0.3">
      <c r="A55" s="133"/>
      <c r="B55" s="134"/>
      <c r="C55" s="150"/>
      <c r="D55" s="63" t="s">
        <v>91</v>
      </c>
      <c r="E55" s="63" t="s">
        <v>36</v>
      </c>
      <c r="F55" s="63">
        <v>3</v>
      </c>
      <c r="G55" s="77" t="s">
        <v>90</v>
      </c>
      <c r="H55" s="65">
        <v>5058.3</v>
      </c>
      <c r="I55" s="65">
        <f>F55*H55</f>
        <v>15174.900000000001</v>
      </c>
      <c r="J55" s="65" t="s">
        <v>176</v>
      </c>
      <c r="K55" s="66">
        <v>1.44</v>
      </c>
      <c r="L55" s="65">
        <f t="shared" ref="L55" si="30">I55*K55</f>
        <v>21851.856</v>
      </c>
      <c r="M55" s="128"/>
      <c r="N55" s="128"/>
      <c r="O55" s="128"/>
      <c r="P55" s="128"/>
      <c r="Q55" s="128"/>
      <c r="R55" s="125"/>
      <c r="S55" s="125"/>
      <c r="T55" s="125"/>
      <c r="U55" s="125"/>
      <c r="V55" s="125"/>
      <c r="W55" s="128"/>
      <c r="X55" s="128"/>
      <c r="Y55" s="128"/>
      <c r="Z55" s="128"/>
      <c r="AA55" s="128"/>
      <c r="AB55" s="128"/>
      <c r="AC55" s="128"/>
      <c r="AD55" s="128"/>
      <c r="AE55" s="128"/>
      <c r="AF55" s="125"/>
      <c r="AG55" s="125"/>
      <c r="AH55" s="125"/>
      <c r="AI55" s="125"/>
      <c r="AJ55" s="128"/>
      <c r="AK55" s="128"/>
      <c r="AL55" s="152"/>
      <c r="AM55" s="31">
        <f t="shared" si="18"/>
        <v>0</v>
      </c>
    </row>
    <row r="56" spans="1:39" ht="44.25" customHeight="1" x14ac:dyDescent="0.3">
      <c r="A56" s="133"/>
      <c r="B56" s="134"/>
      <c r="C56" s="150"/>
      <c r="D56" s="63" t="s">
        <v>170</v>
      </c>
      <c r="E56" s="63" t="s">
        <v>38</v>
      </c>
      <c r="F56" s="63">
        <v>1</v>
      </c>
      <c r="G56" s="77" t="s">
        <v>172</v>
      </c>
      <c r="H56" s="65">
        <v>10261.67</v>
      </c>
      <c r="I56" s="65">
        <f t="shared" ref="I56:I57" si="31">F56*H56</f>
        <v>10261.67</v>
      </c>
      <c r="J56" s="65" t="s">
        <v>35</v>
      </c>
      <c r="K56" s="65" t="s">
        <v>35</v>
      </c>
      <c r="L56" s="65">
        <f>I56</f>
        <v>10261.67</v>
      </c>
      <c r="M56" s="129"/>
      <c r="N56" s="129"/>
      <c r="O56" s="129"/>
      <c r="P56" s="129"/>
      <c r="Q56" s="129"/>
      <c r="R56" s="126"/>
      <c r="S56" s="126"/>
      <c r="T56" s="126"/>
      <c r="U56" s="126"/>
      <c r="V56" s="126"/>
      <c r="W56" s="129"/>
      <c r="X56" s="129"/>
      <c r="Y56" s="129"/>
      <c r="Z56" s="129"/>
      <c r="AA56" s="129"/>
      <c r="AB56" s="129"/>
      <c r="AC56" s="129"/>
      <c r="AD56" s="129"/>
      <c r="AE56" s="129"/>
      <c r="AF56" s="126"/>
      <c r="AG56" s="126"/>
      <c r="AH56" s="126"/>
      <c r="AI56" s="126"/>
      <c r="AJ56" s="129"/>
      <c r="AK56" s="129"/>
      <c r="AL56" s="153"/>
      <c r="AM56" s="31">
        <f t="shared" si="18"/>
        <v>0</v>
      </c>
    </row>
    <row r="57" spans="1:39" ht="78.75" customHeight="1" x14ac:dyDescent="0.3">
      <c r="A57" s="133">
        <v>15</v>
      </c>
      <c r="B57" s="134" t="s">
        <v>75</v>
      </c>
      <c r="C57" s="150" t="s">
        <v>69</v>
      </c>
      <c r="D57" s="63" t="s">
        <v>177</v>
      </c>
      <c r="E57" s="63" t="s">
        <v>92</v>
      </c>
      <c r="F57" s="63">
        <v>2</v>
      </c>
      <c r="G57" s="77" t="s">
        <v>178</v>
      </c>
      <c r="H57" s="65">
        <v>2078.36</v>
      </c>
      <c r="I57" s="65">
        <f t="shared" si="31"/>
        <v>4156.72</v>
      </c>
      <c r="J57" s="65" t="s">
        <v>179</v>
      </c>
      <c r="K57" s="66">
        <v>1.53</v>
      </c>
      <c r="L57" s="65">
        <f t="shared" ref="L57" si="32">I57*K57</f>
        <v>6359.7816000000003</v>
      </c>
      <c r="M57" s="127">
        <f>SUM(L57:L63)</f>
        <v>43882.025900000001</v>
      </c>
      <c r="N57" s="127">
        <f>M57*0.2</f>
        <v>8776.4051799999997</v>
      </c>
      <c r="O57" s="127">
        <f>M57+N57</f>
        <v>52658.431080000002</v>
      </c>
      <c r="P57" s="127">
        <f>O57</f>
        <v>52658.431080000002</v>
      </c>
      <c r="Q57" s="127">
        <f>SUM(W57:AC63)</f>
        <v>59981.699078078374</v>
      </c>
      <c r="R57" s="124">
        <v>1.048</v>
      </c>
      <c r="S57" s="124">
        <v>1.046</v>
      </c>
      <c r="T57" s="124">
        <v>1.046</v>
      </c>
      <c r="U57" s="124">
        <v>1.046</v>
      </c>
      <c r="V57" s="124">
        <v>1.046</v>
      </c>
      <c r="W57" s="127">
        <v>0</v>
      </c>
      <c r="X57" s="127">
        <v>0</v>
      </c>
      <c r="Y57" s="127">
        <v>0</v>
      </c>
      <c r="Z57" s="127">
        <f>L63*R57*S57*1.2</f>
        <v>8657.0790535679989</v>
      </c>
      <c r="AA57" s="127">
        <f>SUM(L57:L62)*1.2*R57*S57*T57</f>
        <v>51324.620024510376</v>
      </c>
      <c r="AB57" s="127">
        <v>0</v>
      </c>
      <c r="AC57" s="127">
        <v>0</v>
      </c>
      <c r="AD57" s="127" t="e">
        <f>#REF!</f>
        <v>#REF!</v>
      </c>
      <c r="AE57" s="127" t="e">
        <f>AJ57+AI57</f>
        <v>#REF!</v>
      </c>
      <c r="AF57" s="124">
        <v>1.0740000000000001</v>
      </c>
      <c r="AG57" s="124">
        <v>1.0369999999999999</v>
      </c>
      <c r="AH57" s="124">
        <v>1.0389999999999999</v>
      </c>
      <c r="AI57" s="124">
        <v>0</v>
      </c>
      <c r="AJ57" s="127" t="e">
        <f>#REF!*AF57*AG57</f>
        <v>#REF!</v>
      </c>
      <c r="AK57" s="127" t="e">
        <f>AD57-#REF!</f>
        <v>#REF!</v>
      </c>
      <c r="AL57" s="151" t="e">
        <f>AD57-O57</f>
        <v>#REF!</v>
      </c>
      <c r="AM57" s="31">
        <f t="shared" si="18"/>
        <v>49984.749231731977</v>
      </c>
    </row>
    <row r="58" spans="1:39" ht="90.75" customHeight="1" x14ac:dyDescent="0.3">
      <c r="A58" s="133"/>
      <c r="B58" s="134"/>
      <c r="C58" s="150"/>
      <c r="D58" s="63" t="s">
        <v>183</v>
      </c>
      <c r="E58" s="63" t="s">
        <v>92</v>
      </c>
      <c r="F58" s="63">
        <v>1</v>
      </c>
      <c r="G58" s="77" t="s">
        <v>184</v>
      </c>
      <c r="H58" s="65">
        <v>5649.95</v>
      </c>
      <c r="I58" s="65">
        <f t="shared" ref="I58:I62" si="33">F58*H58</f>
        <v>5649.95</v>
      </c>
      <c r="J58" s="65" t="s">
        <v>179</v>
      </c>
      <c r="K58" s="66">
        <v>1.53</v>
      </c>
      <c r="L58" s="65">
        <f t="shared" ref="L58:L59" si="34">I58*K58</f>
        <v>8644.423499999999</v>
      </c>
      <c r="M58" s="128"/>
      <c r="N58" s="128"/>
      <c r="O58" s="128"/>
      <c r="P58" s="128"/>
      <c r="Q58" s="128"/>
      <c r="R58" s="125"/>
      <c r="S58" s="125"/>
      <c r="T58" s="125"/>
      <c r="U58" s="125"/>
      <c r="V58" s="125"/>
      <c r="W58" s="128"/>
      <c r="X58" s="128"/>
      <c r="Y58" s="128"/>
      <c r="Z58" s="128"/>
      <c r="AA58" s="128"/>
      <c r="AB58" s="128"/>
      <c r="AC58" s="128"/>
      <c r="AD58" s="128"/>
      <c r="AE58" s="128"/>
      <c r="AF58" s="125"/>
      <c r="AG58" s="125"/>
      <c r="AH58" s="125"/>
      <c r="AI58" s="125"/>
      <c r="AJ58" s="128"/>
      <c r="AK58" s="128"/>
      <c r="AL58" s="152"/>
      <c r="AM58" s="31">
        <f t="shared" si="18"/>
        <v>0</v>
      </c>
    </row>
    <row r="59" spans="1:39" ht="69.75" customHeight="1" x14ac:dyDescent="0.3">
      <c r="A59" s="133"/>
      <c r="B59" s="134"/>
      <c r="C59" s="150"/>
      <c r="D59" s="63" t="s">
        <v>102</v>
      </c>
      <c r="E59" s="63" t="s">
        <v>92</v>
      </c>
      <c r="F59" s="63">
        <v>19</v>
      </c>
      <c r="G59" s="77" t="s">
        <v>37</v>
      </c>
      <c r="H59" s="65">
        <v>330.05</v>
      </c>
      <c r="I59" s="65">
        <f t="shared" si="33"/>
        <v>6270.95</v>
      </c>
      <c r="J59" s="65" t="s">
        <v>182</v>
      </c>
      <c r="K59" s="66">
        <v>1.55</v>
      </c>
      <c r="L59" s="65">
        <f t="shared" si="34"/>
        <v>9719.9724999999999</v>
      </c>
      <c r="M59" s="128"/>
      <c r="N59" s="128"/>
      <c r="O59" s="128"/>
      <c r="P59" s="128"/>
      <c r="Q59" s="128"/>
      <c r="R59" s="125"/>
      <c r="S59" s="125"/>
      <c r="T59" s="125"/>
      <c r="U59" s="125"/>
      <c r="V59" s="125"/>
      <c r="W59" s="128"/>
      <c r="X59" s="128"/>
      <c r="Y59" s="128"/>
      <c r="Z59" s="128"/>
      <c r="AA59" s="128"/>
      <c r="AB59" s="128"/>
      <c r="AC59" s="128"/>
      <c r="AD59" s="128"/>
      <c r="AE59" s="128"/>
      <c r="AF59" s="125"/>
      <c r="AG59" s="125"/>
      <c r="AH59" s="125"/>
      <c r="AI59" s="125"/>
      <c r="AJ59" s="128"/>
      <c r="AK59" s="128"/>
      <c r="AL59" s="152"/>
      <c r="AM59" s="31">
        <f t="shared" si="18"/>
        <v>0</v>
      </c>
    </row>
    <row r="60" spans="1:39" ht="99" customHeight="1" x14ac:dyDescent="0.3">
      <c r="A60" s="133"/>
      <c r="B60" s="134"/>
      <c r="C60" s="150"/>
      <c r="D60" s="63" t="s">
        <v>193</v>
      </c>
      <c r="E60" s="63" t="s">
        <v>92</v>
      </c>
      <c r="F60" s="63">
        <v>1</v>
      </c>
      <c r="G60" s="77" t="s">
        <v>194</v>
      </c>
      <c r="H60" s="65">
        <v>3208</v>
      </c>
      <c r="I60" s="65">
        <f t="shared" si="33"/>
        <v>3208</v>
      </c>
      <c r="J60" s="65" t="s">
        <v>176</v>
      </c>
      <c r="K60" s="66">
        <v>1.53</v>
      </c>
      <c r="L60" s="65">
        <f t="shared" ref="L60:L61" si="35">I60*K60</f>
        <v>4908.24</v>
      </c>
      <c r="M60" s="128"/>
      <c r="N60" s="128"/>
      <c r="O60" s="128"/>
      <c r="P60" s="128"/>
      <c r="Q60" s="128"/>
      <c r="R60" s="125"/>
      <c r="S60" s="125"/>
      <c r="T60" s="125"/>
      <c r="U60" s="125"/>
      <c r="V60" s="125"/>
      <c r="W60" s="128"/>
      <c r="X60" s="128"/>
      <c r="Y60" s="128"/>
      <c r="Z60" s="128"/>
      <c r="AA60" s="128"/>
      <c r="AB60" s="128"/>
      <c r="AC60" s="128"/>
      <c r="AD60" s="128"/>
      <c r="AE60" s="128"/>
      <c r="AF60" s="125"/>
      <c r="AG60" s="125"/>
      <c r="AH60" s="125"/>
      <c r="AI60" s="125"/>
      <c r="AJ60" s="128"/>
      <c r="AK60" s="128"/>
      <c r="AL60" s="152"/>
      <c r="AM60" s="31">
        <f t="shared" si="18"/>
        <v>0</v>
      </c>
    </row>
    <row r="61" spans="1:39" ht="99" customHeight="1" x14ac:dyDescent="0.3">
      <c r="A61" s="133"/>
      <c r="B61" s="134"/>
      <c r="C61" s="150"/>
      <c r="D61" s="63" t="s">
        <v>192</v>
      </c>
      <c r="E61" s="63" t="s">
        <v>92</v>
      </c>
      <c r="F61" s="63">
        <v>1</v>
      </c>
      <c r="G61" s="77" t="s">
        <v>115</v>
      </c>
      <c r="H61" s="65">
        <v>2123.79</v>
      </c>
      <c r="I61" s="65">
        <f t="shared" si="33"/>
        <v>2123.79</v>
      </c>
      <c r="J61" s="65" t="s">
        <v>176</v>
      </c>
      <c r="K61" s="66">
        <v>1.53</v>
      </c>
      <c r="L61" s="65">
        <f t="shared" si="35"/>
        <v>3249.3987000000002</v>
      </c>
      <c r="M61" s="128"/>
      <c r="N61" s="128"/>
      <c r="O61" s="128"/>
      <c r="P61" s="128"/>
      <c r="Q61" s="128"/>
      <c r="R61" s="125"/>
      <c r="S61" s="125"/>
      <c r="T61" s="125"/>
      <c r="U61" s="125"/>
      <c r="V61" s="125"/>
      <c r="W61" s="128"/>
      <c r="X61" s="128"/>
      <c r="Y61" s="128"/>
      <c r="Z61" s="128"/>
      <c r="AA61" s="128"/>
      <c r="AB61" s="128"/>
      <c r="AC61" s="128"/>
      <c r="AD61" s="128"/>
      <c r="AE61" s="128"/>
      <c r="AF61" s="125"/>
      <c r="AG61" s="125"/>
      <c r="AH61" s="125"/>
      <c r="AI61" s="125"/>
      <c r="AJ61" s="128"/>
      <c r="AK61" s="128"/>
      <c r="AL61" s="152"/>
      <c r="AM61" s="31">
        <f t="shared" si="18"/>
        <v>0</v>
      </c>
    </row>
    <row r="62" spans="1:39" ht="81.75" customHeight="1" x14ac:dyDescent="0.3">
      <c r="A62" s="133"/>
      <c r="B62" s="134"/>
      <c r="C62" s="150"/>
      <c r="D62" s="63" t="s">
        <v>190</v>
      </c>
      <c r="E62" s="63" t="s">
        <v>92</v>
      </c>
      <c r="F62" s="63">
        <v>1</v>
      </c>
      <c r="G62" s="77" t="s">
        <v>191</v>
      </c>
      <c r="H62" s="65">
        <v>2888.32</v>
      </c>
      <c r="I62" s="65">
        <f t="shared" si="33"/>
        <v>2888.32</v>
      </c>
      <c r="J62" s="65" t="s">
        <v>179</v>
      </c>
      <c r="K62" s="66">
        <v>1.53</v>
      </c>
      <c r="L62" s="65">
        <f>I62*K62</f>
        <v>4419.1296000000002</v>
      </c>
      <c r="M62" s="128"/>
      <c r="N62" s="128"/>
      <c r="O62" s="128"/>
      <c r="P62" s="128"/>
      <c r="Q62" s="128"/>
      <c r="R62" s="125"/>
      <c r="S62" s="125"/>
      <c r="T62" s="125"/>
      <c r="U62" s="125"/>
      <c r="V62" s="125"/>
      <c r="W62" s="128"/>
      <c r="X62" s="128"/>
      <c r="Y62" s="128"/>
      <c r="Z62" s="128"/>
      <c r="AA62" s="128"/>
      <c r="AB62" s="128"/>
      <c r="AC62" s="128"/>
      <c r="AD62" s="128"/>
      <c r="AE62" s="128"/>
      <c r="AF62" s="125"/>
      <c r="AG62" s="125"/>
      <c r="AH62" s="125"/>
      <c r="AI62" s="125"/>
      <c r="AJ62" s="128"/>
      <c r="AK62" s="128"/>
      <c r="AL62" s="152"/>
      <c r="AM62" s="31">
        <f t="shared" si="18"/>
        <v>0</v>
      </c>
    </row>
    <row r="63" spans="1:39" ht="44.25" customHeight="1" x14ac:dyDescent="0.3">
      <c r="A63" s="133"/>
      <c r="B63" s="134"/>
      <c r="C63" s="150"/>
      <c r="D63" s="63" t="s">
        <v>113</v>
      </c>
      <c r="E63" s="63" t="s">
        <v>38</v>
      </c>
      <c r="F63" s="63">
        <v>2</v>
      </c>
      <c r="G63" s="77" t="s">
        <v>114</v>
      </c>
      <c r="H63" s="65">
        <v>3290.54</v>
      </c>
      <c r="I63" s="65">
        <f t="shared" si="25"/>
        <v>6581.08</v>
      </c>
      <c r="J63" s="65" t="s">
        <v>35</v>
      </c>
      <c r="K63" s="65" t="s">
        <v>35</v>
      </c>
      <c r="L63" s="65">
        <f>I63</f>
        <v>6581.08</v>
      </c>
      <c r="M63" s="129"/>
      <c r="N63" s="129"/>
      <c r="O63" s="129"/>
      <c r="P63" s="129"/>
      <c r="Q63" s="129"/>
      <c r="R63" s="126"/>
      <c r="S63" s="126"/>
      <c r="T63" s="126"/>
      <c r="U63" s="126"/>
      <c r="V63" s="126"/>
      <c r="W63" s="129"/>
      <c r="X63" s="129"/>
      <c r="Y63" s="129"/>
      <c r="Z63" s="129"/>
      <c r="AA63" s="129"/>
      <c r="AB63" s="129"/>
      <c r="AC63" s="129"/>
      <c r="AD63" s="129"/>
      <c r="AE63" s="129"/>
      <c r="AF63" s="126"/>
      <c r="AG63" s="126"/>
      <c r="AH63" s="126"/>
      <c r="AI63" s="126"/>
      <c r="AJ63" s="129"/>
      <c r="AK63" s="129"/>
      <c r="AL63" s="153"/>
      <c r="AM63" s="31">
        <f t="shared" si="18"/>
        <v>0</v>
      </c>
    </row>
    <row r="64" spans="1:39" ht="90" customHeight="1" x14ac:dyDescent="0.3">
      <c r="A64" s="133">
        <v>16</v>
      </c>
      <c r="B64" s="134" t="s">
        <v>167</v>
      </c>
      <c r="C64" s="150" t="s">
        <v>67</v>
      </c>
      <c r="D64" s="63" t="s">
        <v>118</v>
      </c>
      <c r="E64" s="63" t="s">
        <v>36</v>
      </c>
      <c r="F64" s="63">
        <v>9</v>
      </c>
      <c r="G64" s="32" t="s">
        <v>119</v>
      </c>
      <c r="H64" s="65">
        <v>2222.1</v>
      </c>
      <c r="I64" s="65">
        <f t="shared" si="25"/>
        <v>19998.899999999998</v>
      </c>
      <c r="J64" s="65" t="s">
        <v>176</v>
      </c>
      <c r="K64" s="66">
        <v>1.44</v>
      </c>
      <c r="L64" s="65">
        <f>I64*K64</f>
        <v>28798.415999999997</v>
      </c>
      <c r="M64" s="127">
        <f>SUM(L64:L66)</f>
        <v>42652.897999999994</v>
      </c>
      <c r="N64" s="127">
        <f>M64*0.2</f>
        <v>8530.5795999999991</v>
      </c>
      <c r="O64" s="127">
        <f>M64+N64</f>
        <v>51183.477599999991</v>
      </c>
      <c r="P64" s="127">
        <f>O64</f>
        <v>51183.477599999991</v>
      </c>
      <c r="Q64" s="127">
        <f>SUM(W64:AC66)</f>
        <v>49625.558523600375</v>
      </c>
      <c r="R64" s="124">
        <v>1.048</v>
      </c>
      <c r="S64" s="124">
        <v>1.046</v>
      </c>
      <c r="T64" s="124">
        <v>1.046</v>
      </c>
      <c r="U64" s="124">
        <v>1.046</v>
      </c>
      <c r="V64" s="124">
        <v>1.046</v>
      </c>
      <c r="W64" s="127">
        <v>0</v>
      </c>
      <c r="X64" s="127">
        <v>0</v>
      </c>
      <c r="Y64" s="127">
        <v>0</v>
      </c>
      <c r="Z64" s="127">
        <f>L66*R64*S64*1.2</f>
        <v>5597.2512024960006</v>
      </c>
      <c r="AA64" s="127">
        <f>SUM(L64:L65)*R64*S64*T64</f>
        <v>44028.307321104374</v>
      </c>
      <c r="AB64" s="127">
        <v>0</v>
      </c>
      <c r="AC64" s="127">
        <v>0</v>
      </c>
      <c r="AD64" s="127" t="e">
        <f>#REF!</f>
        <v>#REF!</v>
      </c>
      <c r="AE64" s="127" t="e">
        <f>AJ64+AI64</f>
        <v>#REF!</v>
      </c>
      <c r="AF64" s="124">
        <v>1.0740000000000001</v>
      </c>
      <c r="AG64" s="124">
        <v>1.0369999999999999</v>
      </c>
      <c r="AH64" s="124">
        <v>1.0389999999999999</v>
      </c>
      <c r="AI64" s="124">
        <v>0</v>
      </c>
      <c r="AJ64" s="127" t="e">
        <f>#REF!*AF64*AG64</f>
        <v>#REF!</v>
      </c>
      <c r="AK64" s="127" t="e">
        <f>AD64-#REF!</f>
        <v>#REF!</v>
      </c>
      <c r="AL64" s="151" t="e">
        <f>AD64-O64</f>
        <v>#REF!</v>
      </c>
      <c r="AM64" s="31">
        <f t="shared" ref="AM64:AM95" si="36">Q64/1.2</f>
        <v>41354.632103000316</v>
      </c>
    </row>
    <row r="65" spans="1:41" ht="90.75" customHeight="1" x14ac:dyDescent="0.3">
      <c r="A65" s="133"/>
      <c r="B65" s="134"/>
      <c r="C65" s="150"/>
      <c r="D65" s="63" t="s">
        <v>120</v>
      </c>
      <c r="E65" s="63" t="s">
        <v>36</v>
      </c>
      <c r="F65" s="63">
        <v>3</v>
      </c>
      <c r="G65" s="32" t="s">
        <v>94</v>
      </c>
      <c r="H65" s="65">
        <v>2222.1</v>
      </c>
      <c r="I65" s="65">
        <f t="shared" ref="I65" si="37">F65*H65</f>
        <v>6666.2999999999993</v>
      </c>
      <c r="J65" s="65" t="s">
        <v>176</v>
      </c>
      <c r="K65" s="66">
        <v>1.44</v>
      </c>
      <c r="L65" s="65">
        <f>I65*K65</f>
        <v>9599.4719999999979</v>
      </c>
      <c r="M65" s="128"/>
      <c r="N65" s="128"/>
      <c r="O65" s="128"/>
      <c r="P65" s="128"/>
      <c r="Q65" s="128"/>
      <c r="R65" s="125"/>
      <c r="S65" s="125"/>
      <c r="T65" s="125"/>
      <c r="U65" s="125"/>
      <c r="V65" s="125"/>
      <c r="W65" s="128"/>
      <c r="X65" s="128"/>
      <c r="Y65" s="128"/>
      <c r="Z65" s="128"/>
      <c r="AA65" s="128"/>
      <c r="AB65" s="128"/>
      <c r="AC65" s="128"/>
      <c r="AD65" s="128"/>
      <c r="AE65" s="128"/>
      <c r="AF65" s="125"/>
      <c r="AG65" s="125"/>
      <c r="AH65" s="125"/>
      <c r="AI65" s="125"/>
      <c r="AJ65" s="128"/>
      <c r="AK65" s="128"/>
      <c r="AL65" s="152"/>
      <c r="AM65" s="31">
        <f t="shared" si="36"/>
        <v>0</v>
      </c>
    </row>
    <row r="66" spans="1:41" ht="44.25" customHeight="1" x14ac:dyDescent="0.3">
      <c r="A66" s="133"/>
      <c r="B66" s="134"/>
      <c r="C66" s="150"/>
      <c r="D66" s="63" t="s">
        <v>112</v>
      </c>
      <c r="E66" s="63" t="s">
        <v>38</v>
      </c>
      <c r="F66" s="63">
        <v>1</v>
      </c>
      <c r="G66" s="77" t="s">
        <v>252</v>
      </c>
      <c r="H66" s="65">
        <v>4255.01</v>
      </c>
      <c r="I66" s="65">
        <f t="shared" ref="I66:I69" si="38">F66*H66</f>
        <v>4255.01</v>
      </c>
      <c r="J66" s="65" t="s">
        <v>35</v>
      </c>
      <c r="K66" s="65" t="s">
        <v>35</v>
      </c>
      <c r="L66" s="65">
        <f>I66</f>
        <v>4255.01</v>
      </c>
      <c r="M66" s="129"/>
      <c r="N66" s="129"/>
      <c r="O66" s="129"/>
      <c r="P66" s="129"/>
      <c r="Q66" s="129"/>
      <c r="R66" s="126"/>
      <c r="S66" s="126"/>
      <c r="T66" s="126"/>
      <c r="U66" s="126"/>
      <c r="V66" s="126"/>
      <c r="W66" s="129"/>
      <c r="X66" s="129"/>
      <c r="Y66" s="129"/>
      <c r="Z66" s="129"/>
      <c r="AA66" s="129"/>
      <c r="AB66" s="129"/>
      <c r="AC66" s="129"/>
      <c r="AD66" s="129"/>
      <c r="AE66" s="129"/>
      <c r="AF66" s="126"/>
      <c r="AG66" s="126"/>
      <c r="AH66" s="126"/>
      <c r="AI66" s="126"/>
      <c r="AJ66" s="129"/>
      <c r="AK66" s="129"/>
      <c r="AL66" s="153"/>
      <c r="AM66" s="31">
        <f t="shared" si="36"/>
        <v>0</v>
      </c>
    </row>
    <row r="67" spans="1:41" ht="72.75" customHeight="1" x14ac:dyDescent="0.3">
      <c r="A67" s="133">
        <v>17</v>
      </c>
      <c r="B67" s="134" t="s">
        <v>169</v>
      </c>
      <c r="C67" s="150" t="s">
        <v>67</v>
      </c>
      <c r="D67" s="63" t="s">
        <v>118</v>
      </c>
      <c r="E67" s="63" t="s">
        <v>36</v>
      </c>
      <c r="F67" s="63">
        <v>3</v>
      </c>
      <c r="G67" s="77" t="s">
        <v>90</v>
      </c>
      <c r="H67" s="65">
        <v>2222.1</v>
      </c>
      <c r="I67" s="65">
        <f>F67*H67</f>
        <v>6666.2999999999993</v>
      </c>
      <c r="J67" s="65" t="s">
        <v>176</v>
      </c>
      <c r="K67" s="66">
        <v>1.44</v>
      </c>
      <c r="L67" s="65">
        <f t="shared" ref="L67:L68" si="39">I67*K67</f>
        <v>9599.4719999999979</v>
      </c>
      <c r="M67" s="127">
        <f>SUM(L67:L73)</f>
        <v>33542.544152999995</v>
      </c>
      <c r="N67" s="127">
        <f>M67*0.2</f>
        <v>6708.5088305999998</v>
      </c>
      <c r="O67" s="127">
        <f>M67+N67</f>
        <v>40251.052983599991</v>
      </c>
      <c r="P67" s="127">
        <f>O67</f>
        <v>40251.052983599991</v>
      </c>
      <c r="Q67" s="127">
        <f>SUM(W67:AC73)</f>
        <v>48276.256089266062</v>
      </c>
      <c r="R67" s="124">
        <v>1.048</v>
      </c>
      <c r="S67" s="124">
        <v>1.046</v>
      </c>
      <c r="T67" s="124">
        <v>1.046</v>
      </c>
      <c r="U67" s="124">
        <v>1.046</v>
      </c>
      <c r="V67" s="124">
        <v>1.046</v>
      </c>
      <c r="W67" s="127">
        <v>0</v>
      </c>
      <c r="X67" s="127">
        <v>0</v>
      </c>
      <c r="Y67" s="127">
        <v>0</v>
      </c>
      <c r="Z67" s="127">
        <v>0</v>
      </c>
      <c r="AA67" s="127">
        <v>0</v>
      </c>
      <c r="AB67" s="127">
        <f>O67*R67*S67*T67*U67</f>
        <v>48276.256089266062</v>
      </c>
      <c r="AC67" s="127">
        <v>0</v>
      </c>
      <c r="AD67" s="127" t="e">
        <f>#REF!</f>
        <v>#REF!</v>
      </c>
      <c r="AE67" s="127" t="e">
        <f>AJ67+AI67</f>
        <v>#REF!</v>
      </c>
      <c r="AF67" s="124">
        <v>1.0740000000000001</v>
      </c>
      <c r="AG67" s="124">
        <v>1.0369999999999999</v>
      </c>
      <c r="AH67" s="124">
        <v>1.0389999999999999</v>
      </c>
      <c r="AI67" s="124">
        <v>0</v>
      </c>
      <c r="AJ67" s="127" t="e">
        <f>#REF!*AF67*AG67</f>
        <v>#REF!</v>
      </c>
      <c r="AK67" s="127" t="e">
        <f>AD67-#REF!</f>
        <v>#REF!</v>
      </c>
      <c r="AL67" s="151" t="e">
        <f>AD67-O67</f>
        <v>#REF!</v>
      </c>
      <c r="AM67" s="31">
        <f t="shared" si="36"/>
        <v>40230.21340772172</v>
      </c>
    </row>
    <row r="68" spans="1:41" ht="90.75" customHeight="1" x14ac:dyDescent="0.3">
      <c r="A68" s="133"/>
      <c r="B68" s="134"/>
      <c r="C68" s="150"/>
      <c r="D68" s="63" t="s">
        <v>177</v>
      </c>
      <c r="E68" s="63" t="s">
        <v>92</v>
      </c>
      <c r="F68" s="63">
        <v>2</v>
      </c>
      <c r="G68" s="77" t="s">
        <v>178</v>
      </c>
      <c r="H68" s="65">
        <v>2078.36</v>
      </c>
      <c r="I68" s="65">
        <f t="shared" ref="I68" si="40">F68*H68</f>
        <v>4156.72</v>
      </c>
      <c r="J68" s="65" t="s">
        <v>179</v>
      </c>
      <c r="K68" s="66">
        <v>1.53</v>
      </c>
      <c r="L68" s="65">
        <f t="shared" si="39"/>
        <v>6359.7816000000003</v>
      </c>
      <c r="M68" s="128"/>
      <c r="N68" s="128"/>
      <c r="O68" s="128"/>
      <c r="P68" s="128"/>
      <c r="Q68" s="128"/>
      <c r="R68" s="125"/>
      <c r="S68" s="125"/>
      <c r="T68" s="125"/>
      <c r="U68" s="125"/>
      <c r="V68" s="125"/>
      <c r="W68" s="128"/>
      <c r="X68" s="128"/>
      <c r="Y68" s="128"/>
      <c r="Z68" s="128"/>
      <c r="AA68" s="128"/>
      <c r="AB68" s="128"/>
      <c r="AC68" s="128"/>
      <c r="AD68" s="128"/>
      <c r="AE68" s="128"/>
      <c r="AF68" s="125"/>
      <c r="AG68" s="125"/>
      <c r="AH68" s="125"/>
      <c r="AI68" s="125"/>
      <c r="AJ68" s="128"/>
      <c r="AK68" s="128"/>
      <c r="AL68" s="152"/>
      <c r="AM68" s="31">
        <f t="shared" si="36"/>
        <v>0</v>
      </c>
    </row>
    <row r="69" spans="1:41" ht="69.75" customHeight="1" x14ac:dyDescent="0.3">
      <c r="A69" s="133"/>
      <c r="B69" s="134"/>
      <c r="C69" s="150"/>
      <c r="D69" s="63" t="s">
        <v>183</v>
      </c>
      <c r="E69" s="63" t="s">
        <v>92</v>
      </c>
      <c r="F69" s="63">
        <v>1</v>
      </c>
      <c r="G69" s="77" t="s">
        <v>184</v>
      </c>
      <c r="H69" s="65">
        <v>5649.95</v>
      </c>
      <c r="I69" s="65">
        <f t="shared" si="38"/>
        <v>5649.95</v>
      </c>
      <c r="J69" s="65" t="s">
        <v>179</v>
      </c>
      <c r="K69" s="66">
        <v>1.53</v>
      </c>
      <c r="L69" s="65">
        <f t="shared" ref="L69" si="41">I69*K69</f>
        <v>8644.423499999999</v>
      </c>
      <c r="M69" s="128"/>
      <c r="N69" s="128"/>
      <c r="O69" s="128"/>
      <c r="P69" s="128"/>
      <c r="Q69" s="128"/>
      <c r="R69" s="125"/>
      <c r="S69" s="125"/>
      <c r="T69" s="125"/>
      <c r="U69" s="125"/>
      <c r="V69" s="125"/>
      <c r="W69" s="128"/>
      <c r="X69" s="128"/>
      <c r="Y69" s="128"/>
      <c r="Z69" s="128"/>
      <c r="AA69" s="128"/>
      <c r="AB69" s="128"/>
      <c r="AC69" s="128"/>
      <c r="AD69" s="128"/>
      <c r="AE69" s="128"/>
      <c r="AF69" s="125"/>
      <c r="AG69" s="125"/>
      <c r="AH69" s="125"/>
      <c r="AI69" s="125"/>
      <c r="AJ69" s="128"/>
      <c r="AK69" s="128"/>
      <c r="AL69" s="152"/>
      <c r="AM69" s="31">
        <f t="shared" si="36"/>
        <v>0</v>
      </c>
    </row>
    <row r="70" spans="1:41" ht="81.75" customHeight="1" x14ac:dyDescent="0.3">
      <c r="A70" s="133"/>
      <c r="B70" s="134"/>
      <c r="C70" s="150"/>
      <c r="D70" s="63" t="s">
        <v>121</v>
      </c>
      <c r="E70" s="63" t="s">
        <v>92</v>
      </c>
      <c r="F70" s="63">
        <v>1</v>
      </c>
      <c r="G70" s="77" t="s">
        <v>122</v>
      </c>
      <c r="H70" s="65">
        <v>2252.79</v>
      </c>
      <c r="I70" s="65">
        <f>F70*H70</f>
        <v>2252.79</v>
      </c>
      <c r="J70" s="65" t="s">
        <v>182</v>
      </c>
      <c r="K70" s="66">
        <v>1.55</v>
      </c>
      <c r="L70" s="65">
        <f>I70*K70</f>
        <v>3491.8245000000002</v>
      </c>
      <c r="M70" s="128"/>
      <c r="N70" s="128"/>
      <c r="O70" s="128"/>
      <c r="P70" s="128"/>
      <c r="Q70" s="128"/>
      <c r="R70" s="125"/>
      <c r="S70" s="125"/>
      <c r="T70" s="125"/>
      <c r="U70" s="125"/>
      <c r="V70" s="125"/>
      <c r="W70" s="128"/>
      <c r="X70" s="128"/>
      <c r="Y70" s="128"/>
      <c r="Z70" s="128"/>
      <c r="AA70" s="128"/>
      <c r="AB70" s="128"/>
      <c r="AC70" s="128"/>
      <c r="AD70" s="128"/>
      <c r="AE70" s="128"/>
      <c r="AF70" s="125"/>
      <c r="AG70" s="125"/>
      <c r="AH70" s="125"/>
      <c r="AI70" s="125"/>
      <c r="AJ70" s="128"/>
      <c r="AK70" s="128"/>
      <c r="AL70" s="152"/>
      <c r="AM70" s="31">
        <f t="shared" si="36"/>
        <v>0</v>
      </c>
    </row>
    <row r="71" spans="1:41" ht="79.5" customHeight="1" x14ac:dyDescent="0.3">
      <c r="A71" s="133"/>
      <c r="B71" s="134"/>
      <c r="C71" s="150"/>
      <c r="D71" s="63" t="s">
        <v>105</v>
      </c>
      <c r="E71" s="63" t="s">
        <v>33</v>
      </c>
      <c r="F71" s="63">
        <v>1.115</v>
      </c>
      <c r="G71" s="77" t="s">
        <v>106</v>
      </c>
      <c r="H71" s="65">
        <v>291.14</v>
      </c>
      <c r="I71" s="65">
        <f t="shared" ref="I71:I72" si="42">F71*H71</f>
        <v>324.62109999999996</v>
      </c>
      <c r="J71" s="65" t="s">
        <v>186</v>
      </c>
      <c r="K71" s="66">
        <v>1.55</v>
      </c>
      <c r="L71" s="65">
        <f>I71*K71</f>
        <v>503.16270499999996</v>
      </c>
      <c r="M71" s="128"/>
      <c r="N71" s="128"/>
      <c r="O71" s="128"/>
      <c r="P71" s="128"/>
      <c r="Q71" s="128"/>
      <c r="R71" s="125"/>
      <c r="S71" s="125"/>
      <c r="T71" s="125"/>
      <c r="U71" s="125"/>
      <c r="V71" s="125"/>
      <c r="W71" s="128"/>
      <c r="X71" s="128"/>
      <c r="Y71" s="128"/>
      <c r="Z71" s="128"/>
      <c r="AA71" s="128"/>
      <c r="AB71" s="128"/>
      <c r="AC71" s="128"/>
      <c r="AD71" s="128"/>
      <c r="AE71" s="128"/>
      <c r="AF71" s="125"/>
      <c r="AG71" s="125"/>
      <c r="AH71" s="125"/>
      <c r="AI71" s="125"/>
      <c r="AJ71" s="128"/>
      <c r="AK71" s="128"/>
      <c r="AL71" s="152"/>
      <c r="AM71" s="31">
        <f t="shared" si="36"/>
        <v>0</v>
      </c>
      <c r="AO71" s="83"/>
    </row>
    <row r="72" spans="1:41" ht="79.5" customHeight="1" x14ac:dyDescent="0.3">
      <c r="A72" s="133"/>
      <c r="B72" s="134"/>
      <c r="C72" s="150"/>
      <c r="D72" s="63" t="s">
        <v>107</v>
      </c>
      <c r="E72" s="63" t="s">
        <v>33</v>
      </c>
      <c r="F72" s="63">
        <v>1.369</v>
      </c>
      <c r="G72" s="77" t="s">
        <v>108</v>
      </c>
      <c r="H72" s="65">
        <v>324.64</v>
      </c>
      <c r="I72" s="65">
        <f t="shared" si="42"/>
        <v>444.43215999999995</v>
      </c>
      <c r="J72" s="65" t="s">
        <v>186</v>
      </c>
      <c r="K72" s="66">
        <v>1.55</v>
      </c>
      <c r="L72" s="65">
        <f>I72*K72</f>
        <v>688.86984799999993</v>
      </c>
      <c r="M72" s="128"/>
      <c r="N72" s="128"/>
      <c r="O72" s="128"/>
      <c r="P72" s="128"/>
      <c r="Q72" s="128"/>
      <c r="R72" s="125"/>
      <c r="S72" s="125"/>
      <c r="T72" s="125"/>
      <c r="U72" s="125"/>
      <c r="V72" s="125"/>
      <c r="W72" s="128"/>
      <c r="X72" s="128"/>
      <c r="Y72" s="128"/>
      <c r="Z72" s="128"/>
      <c r="AA72" s="128"/>
      <c r="AB72" s="128"/>
      <c r="AC72" s="128"/>
      <c r="AD72" s="128"/>
      <c r="AE72" s="128"/>
      <c r="AF72" s="125"/>
      <c r="AG72" s="125"/>
      <c r="AH72" s="125"/>
      <c r="AI72" s="125"/>
      <c r="AJ72" s="128"/>
      <c r="AK72" s="128"/>
      <c r="AL72" s="152"/>
      <c r="AM72" s="31">
        <f t="shared" si="36"/>
        <v>0</v>
      </c>
      <c r="AO72" s="83"/>
    </row>
    <row r="73" spans="1:41" ht="57.75" customHeight="1" x14ac:dyDescent="0.3">
      <c r="A73" s="133"/>
      <c r="B73" s="134"/>
      <c r="C73" s="150"/>
      <c r="D73" s="63" t="s">
        <v>112</v>
      </c>
      <c r="E73" s="63" t="s">
        <v>92</v>
      </c>
      <c r="F73" s="63">
        <v>1</v>
      </c>
      <c r="G73" s="77" t="s">
        <v>252</v>
      </c>
      <c r="H73" s="65">
        <v>4255.01</v>
      </c>
      <c r="I73" s="65">
        <f t="shared" ref="I73" si="43">F73*H73</f>
        <v>4255.01</v>
      </c>
      <c r="J73" s="65" t="s">
        <v>35</v>
      </c>
      <c r="K73" s="65" t="s">
        <v>35</v>
      </c>
      <c r="L73" s="65">
        <f>I73</f>
        <v>4255.01</v>
      </c>
      <c r="M73" s="128"/>
      <c r="N73" s="128"/>
      <c r="O73" s="128"/>
      <c r="P73" s="129"/>
      <c r="Q73" s="129"/>
      <c r="R73" s="125"/>
      <c r="S73" s="125"/>
      <c r="T73" s="125"/>
      <c r="U73" s="125"/>
      <c r="V73" s="125"/>
      <c r="W73" s="128"/>
      <c r="X73" s="128"/>
      <c r="Y73" s="128"/>
      <c r="Z73" s="128"/>
      <c r="AA73" s="128"/>
      <c r="AB73" s="128"/>
      <c r="AC73" s="128"/>
      <c r="AD73" s="128"/>
      <c r="AE73" s="128"/>
      <c r="AF73" s="125"/>
      <c r="AG73" s="125"/>
      <c r="AH73" s="125"/>
      <c r="AI73" s="125"/>
      <c r="AJ73" s="128"/>
      <c r="AK73" s="128"/>
      <c r="AL73" s="152"/>
      <c r="AM73" s="31">
        <f t="shared" si="36"/>
        <v>0</v>
      </c>
    </row>
    <row r="74" spans="1:41" ht="63.75" customHeight="1" x14ac:dyDescent="0.3">
      <c r="A74" s="133">
        <v>18</v>
      </c>
      <c r="B74" s="134" t="s">
        <v>246</v>
      </c>
      <c r="C74" s="150" t="s">
        <v>76</v>
      </c>
      <c r="D74" s="63" t="s">
        <v>91</v>
      </c>
      <c r="E74" s="63" t="s">
        <v>36</v>
      </c>
      <c r="F74" s="63">
        <v>3</v>
      </c>
      <c r="G74" s="77" t="s">
        <v>90</v>
      </c>
      <c r="H74" s="65">
        <v>5058.3</v>
      </c>
      <c r="I74" s="65">
        <f>F74*H74</f>
        <v>15174.900000000001</v>
      </c>
      <c r="J74" s="65" t="s">
        <v>176</v>
      </c>
      <c r="K74" s="66">
        <v>1.44</v>
      </c>
      <c r="L74" s="65">
        <f t="shared" ref="L74" si="44">I74*K74</f>
        <v>21851.856</v>
      </c>
      <c r="M74" s="127">
        <f>SUM(L74:L81)</f>
        <v>78675.332800000004</v>
      </c>
      <c r="N74" s="127">
        <f>M74*0.2</f>
        <v>15735.066560000001</v>
      </c>
      <c r="O74" s="127">
        <f>M74+N74</f>
        <v>94410.39936000001</v>
      </c>
      <c r="P74" s="127">
        <f>O74</f>
        <v>94410.39936000001</v>
      </c>
      <c r="Q74" s="127">
        <f>SUM(W74:AC81)</f>
        <v>117738.31389075219</v>
      </c>
      <c r="R74" s="124">
        <v>1.048</v>
      </c>
      <c r="S74" s="124">
        <v>1.046</v>
      </c>
      <c r="T74" s="124">
        <v>1.046</v>
      </c>
      <c r="U74" s="124">
        <v>1.046</v>
      </c>
      <c r="V74" s="124">
        <v>1.046</v>
      </c>
      <c r="W74" s="127">
        <v>0</v>
      </c>
      <c r="X74" s="127">
        <v>0</v>
      </c>
      <c r="Y74" s="127">
        <v>0</v>
      </c>
      <c r="Z74" s="127">
        <v>0</v>
      </c>
      <c r="AA74" s="127">
        <v>0</v>
      </c>
      <c r="AB74" s="127">
        <f>L81*1.2*R74*S74*T74*U74</f>
        <v>15310.11243794756</v>
      </c>
      <c r="AC74" s="127">
        <f>SUM(L74:L80)*1.2*R74*S74*T74*U74*V74</f>
        <v>102428.20145280463</v>
      </c>
      <c r="AD74" s="127" t="e">
        <f>#REF!</f>
        <v>#REF!</v>
      </c>
      <c r="AE74" s="127" t="e">
        <f>AJ74+AI74</f>
        <v>#REF!</v>
      </c>
      <c r="AF74" s="124">
        <v>1.0740000000000001</v>
      </c>
      <c r="AG74" s="124">
        <v>1.0369999999999999</v>
      </c>
      <c r="AH74" s="124">
        <v>1.0389999999999999</v>
      </c>
      <c r="AI74" s="124">
        <v>0</v>
      </c>
      <c r="AJ74" s="127" t="e">
        <f>#REF!*AF74*AG74</f>
        <v>#REF!</v>
      </c>
      <c r="AK74" s="127" t="e">
        <f>AD74-#REF!</f>
        <v>#REF!</v>
      </c>
      <c r="AL74" s="151" t="e">
        <f>AD74-O74</f>
        <v>#REF!</v>
      </c>
      <c r="AM74" s="31">
        <f t="shared" si="36"/>
        <v>98115.261575626835</v>
      </c>
    </row>
    <row r="75" spans="1:41" ht="90.75" customHeight="1" x14ac:dyDescent="0.3">
      <c r="A75" s="133"/>
      <c r="B75" s="134"/>
      <c r="C75" s="150"/>
      <c r="D75" s="63" t="s">
        <v>198</v>
      </c>
      <c r="E75" s="63" t="s">
        <v>92</v>
      </c>
      <c r="F75" s="63">
        <v>1</v>
      </c>
      <c r="G75" s="77" t="s">
        <v>199</v>
      </c>
      <c r="H75" s="65">
        <v>18349.689999999999</v>
      </c>
      <c r="I75" s="65">
        <f t="shared" ref="I75" si="45">F75*H75</f>
        <v>18349.689999999999</v>
      </c>
      <c r="J75" s="65" t="s">
        <v>188</v>
      </c>
      <c r="K75" s="66">
        <v>1.1499999999999999</v>
      </c>
      <c r="L75" s="65">
        <f t="shared" ref="L75" si="46">I75*K75</f>
        <v>21102.143499999998</v>
      </c>
      <c r="M75" s="128"/>
      <c r="N75" s="128"/>
      <c r="O75" s="128"/>
      <c r="P75" s="128"/>
      <c r="Q75" s="128"/>
      <c r="R75" s="125"/>
      <c r="S75" s="125"/>
      <c r="T75" s="125"/>
      <c r="U75" s="125"/>
      <c r="V75" s="125"/>
      <c r="W75" s="128"/>
      <c r="X75" s="128"/>
      <c r="Y75" s="128"/>
      <c r="Z75" s="128"/>
      <c r="AA75" s="128"/>
      <c r="AB75" s="128"/>
      <c r="AC75" s="128"/>
      <c r="AD75" s="128"/>
      <c r="AE75" s="128"/>
      <c r="AF75" s="125"/>
      <c r="AG75" s="125"/>
      <c r="AH75" s="125"/>
      <c r="AI75" s="125"/>
      <c r="AJ75" s="128"/>
      <c r="AK75" s="128"/>
      <c r="AL75" s="152"/>
      <c r="AM75" s="31">
        <f t="shared" si="36"/>
        <v>0</v>
      </c>
    </row>
    <row r="76" spans="1:41" ht="69.75" customHeight="1" x14ac:dyDescent="0.3">
      <c r="A76" s="133"/>
      <c r="B76" s="134"/>
      <c r="C76" s="150"/>
      <c r="D76" s="63" t="s">
        <v>197</v>
      </c>
      <c r="E76" s="63" t="s">
        <v>92</v>
      </c>
      <c r="F76" s="63">
        <v>1</v>
      </c>
      <c r="G76" s="77" t="s">
        <v>123</v>
      </c>
      <c r="H76" s="65">
        <v>1128.8</v>
      </c>
      <c r="I76" s="65">
        <f t="shared" ref="I76" si="47">F76*H76</f>
        <v>1128.8</v>
      </c>
      <c r="J76" s="65" t="s">
        <v>188</v>
      </c>
      <c r="K76" s="66">
        <v>1.1499999999999999</v>
      </c>
      <c r="L76" s="65">
        <f t="shared" ref="L76" si="48">I76*K76</f>
        <v>1298.1199999999999</v>
      </c>
      <c r="M76" s="128"/>
      <c r="N76" s="128"/>
      <c r="O76" s="128"/>
      <c r="P76" s="128"/>
      <c r="Q76" s="128"/>
      <c r="R76" s="125"/>
      <c r="S76" s="125"/>
      <c r="T76" s="125"/>
      <c r="U76" s="125"/>
      <c r="V76" s="125"/>
      <c r="W76" s="128"/>
      <c r="X76" s="128"/>
      <c r="Y76" s="128"/>
      <c r="Z76" s="128"/>
      <c r="AA76" s="128"/>
      <c r="AB76" s="128"/>
      <c r="AC76" s="128"/>
      <c r="AD76" s="128"/>
      <c r="AE76" s="128"/>
      <c r="AF76" s="125"/>
      <c r="AG76" s="125"/>
      <c r="AH76" s="125"/>
      <c r="AI76" s="125"/>
      <c r="AJ76" s="128"/>
      <c r="AK76" s="128"/>
      <c r="AL76" s="152"/>
      <c r="AM76" s="31">
        <f t="shared" si="36"/>
        <v>0</v>
      </c>
    </row>
    <row r="77" spans="1:41" ht="81.75" customHeight="1" x14ac:dyDescent="0.3">
      <c r="A77" s="133"/>
      <c r="B77" s="134"/>
      <c r="C77" s="150"/>
      <c r="D77" s="63" t="s">
        <v>121</v>
      </c>
      <c r="E77" s="63" t="s">
        <v>92</v>
      </c>
      <c r="F77" s="63">
        <v>1</v>
      </c>
      <c r="G77" s="77" t="s">
        <v>122</v>
      </c>
      <c r="H77" s="65">
        <v>2252.79</v>
      </c>
      <c r="I77" s="65">
        <f>F77*H77</f>
        <v>2252.79</v>
      </c>
      <c r="J77" s="65" t="s">
        <v>182</v>
      </c>
      <c r="K77" s="66">
        <v>1.55</v>
      </c>
      <c r="L77" s="65">
        <f>I77*K77</f>
        <v>3491.8245000000002</v>
      </c>
      <c r="M77" s="128"/>
      <c r="N77" s="128"/>
      <c r="O77" s="128"/>
      <c r="P77" s="128"/>
      <c r="Q77" s="128"/>
      <c r="R77" s="125"/>
      <c r="S77" s="125"/>
      <c r="T77" s="125"/>
      <c r="U77" s="125"/>
      <c r="V77" s="125"/>
      <c r="W77" s="128"/>
      <c r="X77" s="128"/>
      <c r="Y77" s="128"/>
      <c r="Z77" s="128"/>
      <c r="AA77" s="128"/>
      <c r="AB77" s="128"/>
      <c r="AC77" s="128"/>
      <c r="AD77" s="128"/>
      <c r="AE77" s="128"/>
      <c r="AF77" s="125"/>
      <c r="AG77" s="125"/>
      <c r="AH77" s="125"/>
      <c r="AI77" s="125"/>
      <c r="AJ77" s="128"/>
      <c r="AK77" s="128"/>
      <c r="AL77" s="152"/>
      <c r="AM77" s="31">
        <f t="shared" si="36"/>
        <v>0</v>
      </c>
    </row>
    <row r="78" spans="1:41" ht="79.5" customHeight="1" x14ac:dyDescent="0.3">
      <c r="A78" s="133"/>
      <c r="B78" s="134"/>
      <c r="C78" s="150"/>
      <c r="D78" s="63" t="s">
        <v>183</v>
      </c>
      <c r="E78" s="63" t="s">
        <v>92</v>
      </c>
      <c r="F78" s="63">
        <v>1</v>
      </c>
      <c r="G78" s="77" t="s">
        <v>184</v>
      </c>
      <c r="H78" s="65">
        <v>5649.95</v>
      </c>
      <c r="I78" s="65">
        <f t="shared" ref="I78" si="49">F78*H78</f>
        <v>5649.95</v>
      </c>
      <c r="J78" s="65" t="s">
        <v>179</v>
      </c>
      <c r="K78" s="66">
        <v>1.53</v>
      </c>
      <c r="L78" s="65">
        <f t="shared" ref="L78:L80" si="50">I78*K78</f>
        <v>8644.423499999999</v>
      </c>
      <c r="M78" s="128"/>
      <c r="N78" s="128"/>
      <c r="O78" s="128"/>
      <c r="P78" s="128"/>
      <c r="Q78" s="128"/>
      <c r="R78" s="125"/>
      <c r="S78" s="125"/>
      <c r="T78" s="125"/>
      <c r="U78" s="125"/>
      <c r="V78" s="125"/>
      <c r="W78" s="128"/>
      <c r="X78" s="128"/>
      <c r="Y78" s="128"/>
      <c r="Z78" s="128"/>
      <c r="AA78" s="128"/>
      <c r="AB78" s="128"/>
      <c r="AC78" s="128"/>
      <c r="AD78" s="128"/>
      <c r="AE78" s="128"/>
      <c r="AF78" s="125"/>
      <c r="AG78" s="125"/>
      <c r="AH78" s="125"/>
      <c r="AI78" s="125"/>
      <c r="AJ78" s="128"/>
      <c r="AK78" s="128"/>
      <c r="AL78" s="152"/>
      <c r="AM78" s="31">
        <f t="shared" si="36"/>
        <v>0</v>
      </c>
    </row>
    <row r="79" spans="1:41" ht="79.5" customHeight="1" x14ac:dyDescent="0.3">
      <c r="A79" s="133"/>
      <c r="B79" s="134"/>
      <c r="C79" s="150"/>
      <c r="D79" s="63" t="s">
        <v>195</v>
      </c>
      <c r="E79" s="63" t="s">
        <v>92</v>
      </c>
      <c r="F79" s="63">
        <v>1</v>
      </c>
      <c r="G79" s="77" t="s">
        <v>196</v>
      </c>
      <c r="H79" s="65">
        <v>5490.22</v>
      </c>
      <c r="I79" s="65">
        <f t="shared" ref="I79:I80" si="51">F79*H79</f>
        <v>5490.22</v>
      </c>
      <c r="J79" s="65" t="s">
        <v>179</v>
      </c>
      <c r="K79" s="66">
        <v>1.53</v>
      </c>
      <c r="L79" s="65">
        <f t="shared" si="50"/>
        <v>8400.0366000000013</v>
      </c>
      <c r="M79" s="128"/>
      <c r="N79" s="128"/>
      <c r="O79" s="128"/>
      <c r="P79" s="128"/>
      <c r="Q79" s="128"/>
      <c r="R79" s="125"/>
      <c r="S79" s="125"/>
      <c r="T79" s="125"/>
      <c r="U79" s="125"/>
      <c r="V79" s="125"/>
      <c r="W79" s="128"/>
      <c r="X79" s="128"/>
      <c r="Y79" s="128"/>
      <c r="Z79" s="128"/>
      <c r="AA79" s="128"/>
      <c r="AB79" s="128"/>
      <c r="AC79" s="128"/>
      <c r="AD79" s="128"/>
      <c r="AE79" s="128"/>
      <c r="AF79" s="125"/>
      <c r="AG79" s="125"/>
      <c r="AH79" s="125"/>
      <c r="AI79" s="125"/>
      <c r="AJ79" s="128"/>
      <c r="AK79" s="128"/>
      <c r="AL79" s="152"/>
      <c r="AM79" s="31">
        <f t="shared" si="36"/>
        <v>0</v>
      </c>
    </row>
    <row r="80" spans="1:41" ht="79.5" customHeight="1" x14ac:dyDescent="0.3">
      <c r="A80" s="133"/>
      <c r="B80" s="134"/>
      <c r="C80" s="150"/>
      <c r="D80" s="63" t="s">
        <v>192</v>
      </c>
      <c r="E80" s="63" t="s">
        <v>92</v>
      </c>
      <c r="F80" s="63">
        <v>1</v>
      </c>
      <c r="G80" s="77" t="s">
        <v>115</v>
      </c>
      <c r="H80" s="65">
        <v>2123.79</v>
      </c>
      <c r="I80" s="65">
        <f t="shared" si="51"/>
        <v>2123.79</v>
      </c>
      <c r="J80" s="65" t="s">
        <v>176</v>
      </c>
      <c r="K80" s="66">
        <v>1.53</v>
      </c>
      <c r="L80" s="65">
        <f t="shared" si="50"/>
        <v>3249.3987000000002</v>
      </c>
      <c r="M80" s="128"/>
      <c r="N80" s="128"/>
      <c r="O80" s="128"/>
      <c r="P80" s="128"/>
      <c r="Q80" s="128"/>
      <c r="R80" s="125"/>
      <c r="S80" s="125"/>
      <c r="T80" s="125"/>
      <c r="U80" s="125"/>
      <c r="V80" s="125"/>
      <c r="W80" s="128"/>
      <c r="X80" s="128"/>
      <c r="Y80" s="128"/>
      <c r="Z80" s="128"/>
      <c r="AA80" s="128"/>
      <c r="AB80" s="128"/>
      <c r="AC80" s="128"/>
      <c r="AD80" s="128"/>
      <c r="AE80" s="128"/>
      <c r="AF80" s="125"/>
      <c r="AG80" s="125"/>
      <c r="AH80" s="125"/>
      <c r="AI80" s="125"/>
      <c r="AJ80" s="128"/>
      <c r="AK80" s="128"/>
      <c r="AL80" s="152"/>
      <c r="AM80" s="31">
        <f t="shared" si="36"/>
        <v>0</v>
      </c>
    </row>
    <row r="81" spans="1:41" ht="44.25" customHeight="1" x14ac:dyDescent="0.3">
      <c r="A81" s="133"/>
      <c r="B81" s="134"/>
      <c r="C81" s="150"/>
      <c r="D81" s="63" t="s">
        <v>109</v>
      </c>
      <c r="E81" s="63" t="s">
        <v>38</v>
      </c>
      <c r="F81" s="63">
        <v>1</v>
      </c>
      <c r="G81" s="77" t="s">
        <v>250</v>
      </c>
      <c r="H81" s="65">
        <v>10637.53</v>
      </c>
      <c r="I81" s="65">
        <f t="shared" ref="I81:I115" si="52">F81*H81</f>
        <v>10637.53</v>
      </c>
      <c r="J81" s="65" t="s">
        <v>35</v>
      </c>
      <c r="K81" s="65" t="s">
        <v>35</v>
      </c>
      <c r="L81" s="65">
        <f>I81</f>
        <v>10637.53</v>
      </c>
      <c r="M81" s="129"/>
      <c r="N81" s="129"/>
      <c r="O81" s="129"/>
      <c r="P81" s="129"/>
      <c r="Q81" s="129"/>
      <c r="R81" s="126"/>
      <c r="S81" s="126"/>
      <c r="T81" s="126"/>
      <c r="U81" s="126"/>
      <c r="V81" s="126"/>
      <c r="W81" s="129"/>
      <c r="X81" s="129"/>
      <c r="Y81" s="129"/>
      <c r="Z81" s="129"/>
      <c r="AA81" s="129"/>
      <c r="AB81" s="129"/>
      <c r="AC81" s="129"/>
      <c r="AD81" s="129"/>
      <c r="AE81" s="129"/>
      <c r="AF81" s="126"/>
      <c r="AG81" s="126"/>
      <c r="AH81" s="126"/>
      <c r="AI81" s="126"/>
      <c r="AJ81" s="129"/>
      <c r="AK81" s="129"/>
      <c r="AL81" s="153"/>
      <c r="AM81" s="31">
        <f t="shared" si="36"/>
        <v>0</v>
      </c>
    </row>
    <row r="82" spans="1:41" ht="60" x14ac:dyDescent="0.3">
      <c r="A82" s="63">
        <v>19</v>
      </c>
      <c r="B82" s="32" t="s">
        <v>77</v>
      </c>
      <c r="C82" s="84" t="s">
        <v>67</v>
      </c>
      <c r="D82" s="63" t="s">
        <v>204</v>
      </c>
      <c r="E82" s="63" t="s">
        <v>36</v>
      </c>
      <c r="F82" s="63">
        <v>1</v>
      </c>
      <c r="G82" s="32" t="s">
        <v>165</v>
      </c>
      <c r="H82" s="65">
        <v>9926.0300000000007</v>
      </c>
      <c r="I82" s="65">
        <f t="shared" si="52"/>
        <v>9926.0300000000007</v>
      </c>
      <c r="J82" s="65" t="s">
        <v>186</v>
      </c>
      <c r="K82" s="66">
        <v>1.55</v>
      </c>
      <c r="L82" s="65">
        <f>I82*K82</f>
        <v>15385.346500000001</v>
      </c>
      <c r="M82" s="85">
        <f>SUM(L82:L82)</f>
        <v>15385.346500000001</v>
      </c>
      <c r="N82" s="85">
        <f>M82*0.2</f>
        <v>3077.0693000000006</v>
      </c>
      <c r="O82" s="85">
        <f>M82+N82</f>
        <v>18462.415800000002</v>
      </c>
      <c r="P82" s="85">
        <f>O82</f>
        <v>18462.415800000002</v>
      </c>
      <c r="Q82" s="85">
        <f>SUM(W82:AC82)</f>
        <v>19348.611758400002</v>
      </c>
      <c r="R82" s="75">
        <v>1.048</v>
      </c>
      <c r="S82" s="75">
        <v>1.046</v>
      </c>
      <c r="T82" s="75">
        <v>1.046</v>
      </c>
      <c r="U82" s="75">
        <v>1.046</v>
      </c>
      <c r="V82" s="75">
        <v>1.046</v>
      </c>
      <c r="W82" s="85">
        <v>0</v>
      </c>
      <c r="X82" s="85">
        <v>0</v>
      </c>
      <c r="Y82" s="85">
        <f>O82*R82</f>
        <v>19348.611758400002</v>
      </c>
      <c r="Z82" s="85">
        <v>0</v>
      </c>
      <c r="AA82" s="85">
        <v>0</v>
      </c>
      <c r="AB82" s="85">
        <v>0</v>
      </c>
      <c r="AC82" s="85">
        <v>0</v>
      </c>
      <c r="AD82" s="85" t="e">
        <f>#REF!</f>
        <v>#REF!</v>
      </c>
      <c r="AE82" s="85" t="e">
        <f>AJ82+AI82</f>
        <v>#REF!</v>
      </c>
      <c r="AF82" s="75">
        <v>1.0740000000000001</v>
      </c>
      <c r="AG82" s="75">
        <v>1.0369999999999999</v>
      </c>
      <c r="AH82" s="75">
        <v>1.0389999999999999</v>
      </c>
      <c r="AI82" s="75">
        <v>0</v>
      </c>
      <c r="AJ82" s="85" t="e">
        <f>#REF!*AF82*AG82</f>
        <v>#REF!</v>
      </c>
      <c r="AK82" s="85" t="e">
        <f>AD82-#REF!</f>
        <v>#REF!</v>
      </c>
      <c r="AL82" s="86" t="e">
        <f>AD82-O82</f>
        <v>#REF!</v>
      </c>
      <c r="AM82" s="31">
        <f t="shared" si="36"/>
        <v>16123.843132000002</v>
      </c>
      <c r="AO82" s="83"/>
    </row>
    <row r="83" spans="1:41" ht="54" customHeight="1" x14ac:dyDescent="0.3">
      <c r="A83" s="63">
        <v>20</v>
      </c>
      <c r="B83" s="32" t="s">
        <v>265</v>
      </c>
      <c r="C83" s="84" t="s">
        <v>76</v>
      </c>
      <c r="D83" s="63" t="s">
        <v>124</v>
      </c>
      <c r="E83" s="63" t="s">
        <v>92</v>
      </c>
      <c r="F83" s="63">
        <v>10</v>
      </c>
      <c r="G83" s="77" t="s">
        <v>125</v>
      </c>
      <c r="H83" s="65">
        <v>5196.75</v>
      </c>
      <c r="I83" s="65">
        <f t="shared" si="52"/>
        <v>51967.5</v>
      </c>
      <c r="J83" s="65" t="s">
        <v>179</v>
      </c>
      <c r="K83" s="66">
        <v>1.53</v>
      </c>
      <c r="L83" s="65">
        <f t="shared" ref="L83:L84" si="53">I83*K83</f>
        <v>79510.274999999994</v>
      </c>
      <c r="M83" s="85">
        <f>SUM(L83:L83)</f>
        <v>79510.274999999994</v>
      </c>
      <c r="N83" s="85">
        <f>M83*0.2</f>
        <v>15902.055</v>
      </c>
      <c r="O83" s="85">
        <f>M83+N83</f>
        <v>95412.329999999987</v>
      </c>
      <c r="P83" s="85">
        <f>O83</f>
        <v>95412.329999999987</v>
      </c>
      <c r="Q83" s="85">
        <f>SUM(W83:AC83)</f>
        <v>109402.98037909345</v>
      </c>
      <c r="R83" s="75">
        <v>1.048</v>
      </c>
      <c r="S83" s="75">
        <v>1.046</v>
      </c>
      <c r="T83" s="75">
        <v>1.046</v>
      </c>
      <c r="U83" s="75">
        <v>1.046</v>
      </c>
      <c r="V83" s="75">
        <v>1.046</v>
      </c>
      <c r="W83" s="85">
        <v>0</v>
      </c>
      <c r="X83" s="85">
        <v>0</v>
      </c>
      <c r="Y83" s="85">
        <v>0</v>
      </c>
      <c r="Z83" s="85">
        <v>0</v>
      </c>
      <c r="AA83" s="85">
        <f>O83*R83*S83*T83</f>
        <v>109402.98037909345</v>
      </c>
      <c r="AB83" s="85">
        <v>0</v>
      </c>
      <c r="AC83" s="85">
        <v>0</v>
      </c>
      <c r="AD83" s="85" t="e">
        <f>#REF!</f>
        <v>#REF!</v>
      </c>
      <c r="AE83" s="85" t="e">
        <f>AJ83+AI83</f>
        <v>#REF!</v>
      </c>
      <c r="AF83" s="75">
        <v>1.0740000000000001</v>
      </c>
      <c r="AG83" s="75">
        <v>1.0369999999999999</v>
      </c>
      <c r="AH83" s="75">
        <v>1.0389999999999999</v>
      </c>
      <c r="AI83" s="75">
        <v>0</v>
      </c>
      <c r="AJ83" s="85" t="e">
        <f>#REF!*AF83*AG83</f>
        <v>#REF!</v>
      </c>
      <c r="AK83" s="85" t="e">
        <f>AD83-#REF!</f>
        <v>#REF!</v>
      </c>
      <c r="AL83" s="86" t="e">
        <f>AD83-O83</f>
        <v>#REF!</v>
      </c>
      <c r="AM83" s="31">
        <f t="shared" si="36"/>
        <v>91169.150315911218</v>
      </c>
    </row>
    <row r="84" spans="1:41" ht="84" customHeight="1" x14ac:dyDescent="0.3">
      <c r="A84" s="133">
        <v>21</v>
      </c>
      <c r="B84" s="134" t="s">
        <v>78</v>
      </c>
      <c r="C84" s="150" t="s">
        <v>76</v>
      </c>
      <c r="D84" s="63" t="s">
        <v>173</v>
      </c>
      <c r="E84" s="63" t="s">
        <v>92</v>
      </c>
      <c r="F84" s="63">
        <v>2</v>
      </c>
      <c r="G84" s="77" t="s">
        <v>185</v>
      </c>
      <c r="H84" s="65">
        <v>2409.41</v>
      </c>
      <c r="I84" s="65">
        <f t="shared" si="52"/>
        <v>4818.82</v>
      </c>
      <c r="J84" s="65" t="s">
        <v>176</v>
      </c>
      <c r="K84" s="66">
        <v>1.44</v>
      </c>
      <c r="L84" s="65">
        <f t="shared" si="53"/>
        <v>6939.1007999999993</v>
      </c>
      <c r="M84" s="127">
        <f>SUM(L84:L86)</f>
        <v>20536.862399999998</v>
      </c>
      <c r="N84" s="127">
        <f>M84*0.2</f>
        <v>4107.37248</v>
      </c>
      <c r="O84" s="127">
        <f>M84+N84</f>
        <v>24644.234879999996</v>
      </c>
      <c r="P84" s="127">
        <f>O84</f>
        <v>24644.234879999996</v>
      </c>
      <c r="Q84" s="127">
        <f>SUM(W84:AC86)</f>
        <v>30917.428143575042</v>
      </c>
      <c r="R84" s="124">
        <v>1.048</v>
      </c>
      <c r="S84" s="124">
        <v>1.046</v>
      </c>
      <c r="T84" s="124">
        <v>1.046</v>
      </c>
      <c r="U84" s="124">
        <v>1.046</v>
      </c>
      <c r="V84" s="124">
        <v>1.046</v>
      </c>
      <c r="W84" s="127">
        <v>0</v>
      </c>
      <c r="X84" s="127">
        <v>0</v>
      </c>
      <c r="Y84" s="127">
        <v>0</v>
      </c>
      <c r="Z84" s="127">
        <v>0</v>
      </c>
      <c r="AA84" s="127">
        <v>0</v>
      </c>
      <c r="AB84" s="127">
        <v>0</v>
      </c>
      <c r="AC84" s="127">
        <f>O84*R84*S84*T84*U84*V84</f>
        <v>30917.428143575042</v>
      </c>
      <c r="AD84" s="127" t="e">
        <f>#REF!</f>
        <v>#REF!</v>
      </c>
      <c r="AE84" s="127" t="e">
        <f>AJ84+AI84</f>
        <v>#REF!</v>
      </c>
      <c r="AF84" s="124">
        <v>1.0740000000000001</v>
      </c>
      <c r="AG84" s="124">
        <v>1.0369999999999999</v>
      </c>
      <c r="AH84" s="124">
        <v>1.0389999999999999</v>
      </c>
      <c r="AI84" s="124">
        <v>0</v>
      </c>
      <c r="AJ84" s="127" t="e">
        <f>#REF!*AF84*AG84</f>
        <v>#REF!</v>
      </c>
      <c r="AK84" s="127" t="e">
        <f>AD84-#REF!</f>
        <v>#REF!</v>
      </c>
      <c r="AL84" s="151" t="e">
        <f>AD84-O84</f>
        <v>#REF!</v>
      </c>
      <c r="AM84" s="31">
        <f t="shared" si="36"/>
        <v>25764.523452979203</v>
      </c>
    </row>
    <row r="85" spans="1:41" ht="90.75" customHeight="1" x14ac:dyDescent="0.3">
      <c r="A85" s="133"/>
      <c r="B85" s="134"/>
      <c r="C85" s="150"/>
      <c r="D85" s="63" t="s">
        <v>201</v>
      </c>
      <c r="E85" s="63" t="s">
        <v>92</v>
      </c>
      <c r="F85" s="63">
        <v>1</v>
      </c>
      <c r="G85" s="77" t="s">
        <v>202</v>
      </c>
      <c r="H85" s="65">
        <v>2968.44</v>
      </c>
      <c r="I85" s="65">
        <f t="shared" ref="I85" si="54">F85*H85</f>
        <v>2968.44</v>
      </c>
      <c r="J85" s="65" t="s">
        <v>176</v>
      </c>
      <c r="K85" s="66">
        <v>1.44</v>
      </c>
      <c r="L85" s="65">
        <f t="shared" ref="L85" si="55">I85*K85</f>
        <v>4274.5536000000002</v>
      </c>
      <c r="M85" s="128"/>
      <c r="N85" s="128"/>
      <c r="O85" s="128"/>
      <c r="P85" s="128"/>
      <c r="Q85" s="128"/>
      <c r="R85" s="125"/>
      <c r="S85" s="125"/>
      <c r="T85" s="125"/>
      <c r="U85" s="125"/>
      <c r="V85" s="125"/>
      <c r="W85" s="128"/>
      <c r="X85" s="128"/>
      <c r="Y85" s="128"/>
      <c r="Z85" s="128"/>
      <c r="AA85" s="128"/>
      <c r="AB85" s="128"/>
      <c r="AC85" s="128"/>
      <c r="AD85" s="128"/>
      <c r="AE85" s="128"/>
      <c r="AF85" s="125"/>
      <c r="AG85" s="125"/>
      <c r="AH85" s="125"/>
      <c r="AI85" s="125"/>
      <c r="AJ85" s="128"/>
      <c r="AK85" s="128"/>
      <c r="AL85" s="152"/>
      <c r="AM85" s="31">
        <f t="shared" si="36"/>
        <v>0</v>
      </c>
    </row>
    <row r="86" spans="1:41" ht="69.75" customHeight="1" x14ac:dyDescent="0.3">
      <c r="A86" s="133"/>
      <c r="B86" s="134"/>
      <c r="C86" s="150"/>
      <c r="D86" s="63" t="s">
        <v>200</v>
      </c>
      <c r="E86" s="63" t="s">
        <v>92</v>
      </c>
      <c r="F86" s="63">
        <v>120</v>
      </c>
      <c r="G86" s="77" t="s">
        <v>126</v>
      </c>
      <c r="H86" s="65">
        <v>50.78</v>
      </c>
      <c r="I86" s="65">
        <f>F86*H86</f>
        <v>6093.6</v>
      </c>
      <c r="J86" s="65" t="s">
        <v>176</v>
      </c>
      <c r="K86" s="66">
        <v>1.53</v>
      </c>
      <c r="L86" s="65">
        <f t="shared" ref="L86" si="56">I86*K86</f>
        <v>9323.2080000000005</v>
      </c>
      <c r="M86" s="128"/>
      <c r="N86" s="128"/>
      <c r="O86" s="128"/>
      <c r="P86" s="129"/>
      <c r="Q86" s="129"/>
      <c r="R86" s="125"/>
      <c r="S86" s="125"/>
      <c r="T86" s="125"/>
      <c r="U86" s="125"/>
      <c r="V86" s="125"/>
      <c r="W86" s="128"/>
      <c r="X86" s="128"/>
      <c r="Y86" s="128"/>
      <c r="Z86" s="128"/>
      <c r="AA86" s="128"/>
      <c r="AB86" s="128"/>
      <c r="AC86" s="128"/>
      <c r="AD86" s="128"/>
      <c r="AE86" s="128"/>
      <c r="AF86" s="125"/>
      <c r="AG86" s="125"/>
      <c r="AH86" s="125"/>
      <c r="AI86" s="125"/>
      <c r="AJ86" s="128"/>
      <c r="AK86" s="128"/>
      <c r="AL86" s="152"/>
      <c r="AM86" s="31">
        <f t="shared" si="36"/>
        <v>0</v>
      </c>
    </row>
    <row r="87" spans="1:41" ht="87.75" customHeight="1" x14ac:dyDescent="0.3">
      <c r="A87" s="63">
        <v>22</v>
      </c>
      <c r="B87" s="32" t="s">
        <v>79</v>
      </c>
      <c r="C87" s="84" t="s">
        <v>67</v>
      </c>
      <c r="D87" s="63" t="s">
        <v>164</v>
      </c>
      <c r="E87" s="63" t="s">
        <v>36</v>
      </c>
      <c r="F87" s="63">
        <v>1</v>
      </c>
      <c r="G87" s="32" t="s">
        <v>127</v>
      </c>
      <c r="H87" s="65">
        <v>45019.29</v>
      </c>
      <c r="I87" s="65">
        <f t="shared" ref="I87" si="57">F87*H87</f>
        <v>45019.29</v>
      </c>
      <c r="J87" s="65" t="s">
        <v>203</v>
      </c>
      <c r="K87" s="66">
        <v>1.44</v>
      </c>
      <c r="L87" s="65">
        <f t="shared" ref="L87:L93" si="58">I87*K87</f>
        <v>64827.777600000001</v>
      </c>
      <c r="M87" s="85">
        <f>SUM(L87:L87)</f>
        <v>64827.777600000001</v>
      </c>
      <c r="N87" s="85">
        <f>M87*0.2</f>
        <v>12965.555520000002</v>
      </c>
      <c r="O87" s="85">
        <f>M87+N87</f>
        <v>77793.333119999996</v>
      </c>
      <c r="P87" s="85">
        <f>O87</f>
        <v>77793.333119999996</v>
      </c>
      <c r="Q87" s="85">
        <f>SUM(W87:AC87)</f>
        <v>93303.667689610098</v>
      </c>
      <c r="R87" s="75">
        <v>1.048</v>
      </c>
      <c r="S87" s="75">
        <v>1.046</v>
      </c>
      <c r="T87" s="75">
        <v>1.046</v>
      </c>
      <c r="U87" s="75">
        <v>1.046</v>
      </c>
      <c r="V87" s="75">
        <v>1.046</v>
      </c>
      <c r="W87" s="85">
        <v>0</v>
      </c>
      <c r="X87" s="85">
        <v>0</v>
      </c>
      <c r="Y87" s="85">
        <v>0</v>
      </c>
      <c r="Z87" s="85">
        <v>0</v>
      </c>
      <c r="AA87" s="85">
        <v>0</v>
      </c>
      <c r="AB87" s="85">
        <f>O87*R87*S87*T87*U87</f>
        <v>93303.667689610098</v>
      </c>
      <c r="AC87" s="85">
        <v>0</v>
      </c>
      <c r="AD87" s="85" t="e">
        <f>#REF!</f>
        <v>#REF!</v>
      </c>
      <c r="AE87" s="85" t="e">
        <f>AJ87+AI87</f>
        <v>#REF!</v>
      </c>
      <c r="AF87" s="75">
        <v>1.0740000000000001</v>
      </c>
      <c r="AG87" s="75">
        <v>1.0369999999999999</v>
      </c>
      <c r="AH87" s="75">
        <v>1.0389999999999999</v>
      </c>
      <c r="AI87" s="75">
        <v>0</v>
      </c>
      <c r="AJ87" s="85" t="e">
        <f>#REF!*AF87*AG87</f>
        <v>#REF!</v>
      </c>
      <c r="AK87" s="85" t="e">
        <f>AD87-#REF!</f>
        <v>#REF!</v>
      </c>
      <c r="AL87" s="86" t="e">
        <f>AD87-O87</f>
        <v>#REF!</v>
      </c>
      <c r="AM87" s="31">
        <f t="shared" si="36"/>
        <v>77753.056408008415</v>
      </c>
      <c r="AO87" s="83"/>
    </row>
    <row r="88" spans="1:41" ht="109.5" customHeight="1" x14ac:dyDescent="0.3">
      <c r="A88" s="63">
        <v>23</v>
      </c>
      <c r="B88" s="32" t="s">
        <v>80</v>
      </c>
      <c r="C88" s="84" t="s">
        <v>67</v>
      </c>
      <c r="D88" s="63" t="s">
        <v>128</v>
      </c>
      <c r="E88" s="63" t="s">
        <v>36</v>
      </c>
      <c r="F88" s="63">
        <v>1</v>
      </c>
      <c r="G88" s="32" t="s">
        <v>129</v>
      </c>
      <c r="H88" s="65">
        <v>40047.11</v>
      </c>
      <c r="I88" s="65">
        <f t="shared" ref="I88" si="59">F88*H88</f>
        <v>40047.11</v>
      </c>
      <c r="J88" s="65" t="s">
        <v>203</v>
      </c>
      <c r="K88" s="66">
        <v>1.44</v>
      </c>
      <c r="L88" s="65">
        <f>I88*K88</f>
        <v>57667.838400000001</v>
      </c>
      <c r="M88" s="85">
        <f>SUM(L88:L88)</f>
        <v>57667.838400000001</v>
      </c>
      <c r="N88" s="85">
        <f>M88*0.2</f>
        <v>11533.56768</v>
      </c>
      <c r="O88" s="85">
        <f>M88+N88</f>
        <v>69201.406080000001</v>
      </c>
      <c r="P88" s="85">
        <f>O88</f>
        <v>69201.406080000001</v>
      </c>
      <c r="Q88" s="85">
        <f>SUM(W88:AC88)</f>
        <v>86816.633193554313</v>
      </c>
      <c r="R88" s="75">
        <v>1.048</v>
      </c>
      <c r="S88" s="75">
        <v>1.046</v>
      </c>
      <c r="T88" s="75">
        <v>1.046</v>
      </c>
      <c r="U88" s="75">
        <v>1.046</v>
      </c>
      <c r="V88" s="75">
        <v>1.046</v>
      </c>
      <c r="W88" s="85">
        <v>0</v>
      </c>
      <c r="X88" s="85">
        <v>0</v>
      </c>
      <c r="Y88" s="85">
        <v>0</v>
      </c>
      <c r="Z88" s="85">
        <v>0</v>
      </c>
      <c r="AA88" s="85">
        <v>0</v>
      </c>
      <c r="AB88" s="85">
        <v>0</v>
      </c>
      <c r="AC88" s="85">
        <f>O88*R88*S88*T88*U88*V88</f>
        <v>86816.633193554313</v>
      </c>
      <c r="AD88" s="85" t="e">
        <f>#REF!</f>
        <v>#REF!</v>
      </c>
      <c r="AE88" s="85" t="e">
        <f>AJ88+AI88</f>
        <v>#REF!</v>
      </c>
      <c r="AF88" s="75">
        <v>1.0740000000000001</v>
      </c>
      <c r="AG88" s="75">
        <v>1.0369999999999999</v>
      </c>
      <c r="AH88" s="75">
        <v>1.0389999999999999</v>
      </c>
      <c r="AI88" s="75">
        <v>0</v>
      </c>
      <c r="AJ88" s="85" t="e">
        <f>#REF!*AF88*AG88</f>
        <v>#REF!</v>
      </c>
      <c r="AK88" s="85" t="e">
        <f>AD88-#REF!</f>
        <v>#REF!</v>
      </c>
      <c r="AL88" s="86" t="e">
        <f>AD88-O88</f>
        <v>#REF!</v>
      </c>
      <c r="AM88" s="31">
        <f t="shared" si="36"/>
        <v>72347.19432796193</v>
      </c>
      <c r="AO88" s="83"/>
    </row>
    <row r="89" spans="1:41" ht="84" customHeight="1" x14ac:dyDescent="0.3">
      <c r="A89" s="63">
        <v>24</v>
      </c>
      <c r="B89" s="32" t="s">
        <v>81</v>
      </c>
      <c r="C89" s="84" t="s">
        <v>67</v>
      </c>
      <c r="D89" s="63" t="s">
        <v>128</v>
      </c>
      <c r="E89" s="63" t="s">
        <v>36</v>
      </c>
      <c r="F89" s="63">
        <v>1</v>
      </c>
      <c r="G89" s="32" t="s">
        <v>129</v>
      </c>
      <c r="H89" s="65">
        <v>40047.11</v>
      </c>
      <c r="I89" s="65">
        <f t="shared" ref="I89" si="60">F89*H89</f>
        <v>40047.11</v>
      </c>
      <c r="J89" s="65" t="s">
        <v>203</v>
      </c>
      <c r="K89" s="66">
        <v>1.44</v>
      </c>
      <c r="L89" s="65">
        <f>I89*K89</f>
        <v>57667.838400000001</v>
      </c>
      <c r="M89" s="85">
        <f>SUM(L89:L89)</f>
        <v>57667.838400000001</v>
      </c>
      <c r="N89" s="85">
        <f>M89*0.2</f>
        <v>11533.56768</v>
      </c>
      <c r="O89" s="85">
        <f>M89+N89</f>
        <v>69201.406080000001</v>
      </c>
      <c r="P89" s="85">
        <f>O89</f>
        <v>69201.406080000001</v>
      </c>
      <c r="Q89" s="85">
        <f>SUM(W89:AC89)</f>
        <v>86816.633193554313</v>
      </c>
      <c r="R89" s="75">
        <v>1.048</v>
      </c>
      <c r="S89" s="75">
        <v>1.046</v>
      </c>
      <c r="T89" s="75">
        <v>1.046</v>
      </c>
      <c r="U89" s="75">
        <v>1.046</v>
      </c>
      <c r="V89" s="75">
        <v>1.046</v>
      </c>
      <c r="W89" s="85">
        <v>0</v>
      </c>
      <c r="X89" s="85">
        <v>0</v>
      </c>
      <c r="Y89" s="85">
        <v>0</v>
      </c>
      <c r="Z89" s="85">
        <v>0</v>
      </c>
      <c r="AA89" s="85">
        <v>0</v>
      </c>
      <c r="AB89" s="85">
        <v>0</v>
      </c>
      <c r="AC89" s="85">
        <f>O89*R89*S89*T89*U89*V89</f>
        <v>86816.633193554313</v>
      </c>
      <c r="AD89" s="85" t="e">
        <f>#REF!</f>
        <v>#REF!</v>
      </c>
      <c r="AE89" s="85" t="e">
        <f>AJ89+AI89</f>
        <v>#REF!</v>
      </c>
      <c r="AF89" s="75">
        <v>1.0740000000000001</v>
      </c>
      <c r="AG89" s="75">
        <v>1.0369999999999999</v>
      </c>
      <c r="AH89" s="75">
        <v>1.0389999999999999</v>
      </c>
      <c r="AI89" s="75">
        <v>0</v>
      </c>
      <c r="AJ89" s="85" t="e">
        <f>#REF!*AF89*AG89</f>
        <v>#REF!</v>
      </c>
      <c r="AK89" s="85" t="e">
        <f>AD89-#REF!</f>
        <v>#REF!</v>
      </c>
      <c r="AL89" s="86" t="e">
        <f>AD89-O89</f>
        <v>#REF!</v>
      </c>
      <c r="AM89" s="31">
        <f t="shared" si="36"/>
        <v>72347.19432796193</v>
      </c>
      <c r="AO89" s="83"/>
    </row>
    <row r="90" spans="1:41" ht="31.5" customHeight="1" x14ac:dyDescent="0.3">
      <c r="A90" s="133">
        <v>25</v>
      </c>
      <c r="B90" s="134" t="s">
        <v>168</v>
      </c>
      <c r="C90" s="150" t="s">
        <v>68</v>
      </c>
      <c r="D90" s="63" t="s">
        <v>132</v>
      </c>
      <c r="E90" s="63" t="s">
        <v>36</v>
      </c>
      <c r="F90" s="63">
        <v>1</v>
      </c>
      <c r="G90" s="32" t="s">
        <v>37</v>
      </c>
      <c r="H90" s="65">
        <v>2246.6999999999998</v>
      </c>
      <c r="I90" s="65">
        <f t="shared" si="52"/>
        <v>2246.6999999999998</v>
      </c>
      <c r="J90" s="65" t="s">
        <v>176</v>
      </c>
      <c r="K90" s="66">
        <v>1.44</v>
      </c>
      <c r="L90" s="65">
        <f t="shared" si="58"/>
        <v>3235.2479999999996</v>
      </c>
      <c r="M90" s="127">
        <f>SUM(L90:L95)</f>
        <v>23294.395516799999</v>
      </c>
      <c r="N90" s="127">
        <f>M90*0.2</f>
        <v>4658.87910336</v>
      </c>
      <c r="O90" s="127">
        <f>M90+N90</f>
        <v>27953.274620159998</v>
      </c>
      <c r="P90" s="127">
        <f>O90</f>
        <v>27953.274620159998</v>
      </c>
      <c r="Q90" s="127">
        <f>SUM(W90:AC95)</f>
        <v>29295.031801927678</v>
      </c>
      <c r="R90" s="124">
        <v>1.048</v>
      </c>
      <c r="S90" s="124">
        <v>1.046</v>
      </c>
      <c r="T90" s="124">
        <v>1.046</v>
      </c>
      <c r="U90" s="124">
        <v>1.046</v>
      </c>
      <c r="V90" s="124">
        <v>1.046</v>
      </c>
      <c r="W90" s="127">
        <v>0</v>
      </c>
      <c r="X90" s="127">
        <v>0</v>
      </c>
      <c r="Y90" s="127">
        <f>O90*R90</f>
        <v>29295.031801927678</v>
      </c>
      <c r="Z90" s="127">
        <v>0</v>
      </c>
      <c r="AA90" s="127">
        <v>0</v>
      </c>
      <c r="AB90" s="127">
        <v>0</v>
      </c>
      <c r="AC90" s="127">
        <v>0</v>
      </c>
      <c r="AD90" s="127" t="e">
        <f>#REF!</f>
        <v>#REF!</v>
      </c>
      <c r="AE90" s="127" t="e">
        <f>AJ90+AI90</f>
        <v>#REF!</v>
      </c>
      <c r="AF90" s="124">
        <v>1.0740000000000001</v>
      </c>
      <c r="AG90" s="124">
        <v>1.0369999999999999</v>
      </c>
      <c r="AH90" s="124">
        <v>1.0389999999999999</v>
      </c>
      <c r="AI90" s="124">
        <v>0</v>
      </c>
      <c r="AJ90" s="127" t="e">
        <f>#REF!*AF90*AG90</f>
        <v>#REF!</v>
      </c>
      <c r="AK90" s="127" t="e">
        <f>AD90-#REF!</f>
        <v>#REF!</v>
      </c>
      <c r="AL90" s="151" t="e">
        <f>AD90-O90</f>
        <v>#REF!</v>
      </c>
      <c r="AM90" s="31">
        <f t="shared" si="36"/>
        <v>24412.5265016064</v>
      </c>
      <c r="AO90" s="83"/>
    </row>
    <row r="91" spans="1:41" ht="90.75" customHeight="1" x14ac:dyDescent="0.3">
      <c r="A91" s="133"/>
      <c r="B91" s="134"/>
      <c r="C91" s="150"/>
      <c r="D91" s="63" t="s">
        <v>39</v>
      </c>
      <c r="E91" s="63" t="s">
        <v>33</v>
      </c>
      <c r="F91" s="63">
        <v>2.1360000000000001</v>
      </c>
      <c r="G91" s="77" t="s">
        <v>40</v>
      </c>
      <c r="H91" s="65">
        <v>1262.83</v>
      </c>
      <c r="I91" s="65">
        <f t="shared" si="52"/>
        <v>2697.40488</v>
      </c>
      <c r="J91" s="65" t="s">
        <v>205</v>
      </c>
      <c r="K91" s="66">
        <v>1.1100000000000001</v>
      </c>
      <c r="L91" s="65">
        <f>I91*K91</f>
        <v>2994.1194168000002</v>
      </c>
      <c r="M91" s="128"/>
      <c r="N91" s="128"/>
      <c r="O91" s="128"/>
      <c r="P91" s="128"/>
      <c r="Q91" s="128"/>
      <c r="R91" s="125"/>
      <c r="S91" s="125"/>
      <c r="T91" s="125"/>
      <c r="U91" s="125"/>
      <c r="V91" s="125"/>
      <c r="W91" s="128"/>
      <c r="X91" s="128"/>
      <c r="Y91" s="128"/>
      <c r="Z91" s="128"/>
      <c r="AA91" s="128"/>
      <c r="AB91" s="128"/>
      <c r="AC91" s="128"/>
      <c r="AD91" s="128"/>
      <c r="AE91" s="128"/>
      <c r="AF91" s="125"/>
      <c r="AG91" s="125"/>
      <c r="AH91" s="125"/>
      <c r="AI91" s="125"/>
      <c r="AJ91" s="128"/>
      <c r="AK91" s="128"/>
      <c r="AL91" s="152"/>
      <c r="AM91" s="31">
        <f t="shared" si="36"/>
        <v>0</v>
      </c>
      <c r="AO91" s="83"/>
    </row>
    <row r="92" spans="1:41" ht="69.75" customHeight="1" x14ac:dyDescent="0.3">
      <c r="A92" s="133"/>
      <c r="B92" s="134"/>
      <c r="C92" s="150"/>
      <c r="D92" s="63" t="s">
        <v>41</v>
      </c>
      <c r="E92" s="63" t="s">
        <v>42</v>
      </c>
      <c r="F92" s="63">
        <v>104.2</v>
      </c>
      <c r="G92" s="77" t="s">
        <v>43</v>
      </c>
      <c r="H92" s="65">
        <v>24.86</v>
      </c>
      <c r="I92" s="65">
        <f t="shared" si="52"/>
        <v>2590.4119999999998</v>
      </c>
      <c r="J92" s="65" t="s">
        <v>205</v>
      </c>
      <c r="K92" s="66">
        <v>1.1100000000000001</v>
      </c>
      <c r="L92" s="65">
        <f>I92*K92</f>
        <v>2875.3573200000001</v>
      </c>
      <c r="M92" s="128"/>
      <c r="N92" s="128"/>
      <c r="O92" s="128"/>
      <c r="P92" s="128"/>
      <c r="Q92" s="128"/>
      <c r="R92" s="125"/>
      <c r="S92" s="125"/>
      <c r="T92" s="125"/>
      <c r="U92" s="125"/>
      <c r="V92" s="125"/>
      <c r="W92" s="128"/>
      <c r="X92" s="128"/>
      <c r="Y92" s="128"/>
      <c r="Z92" s="128"/>
      <c r="AA92" s="128"/>
      <c r="AB92" s="128"/>
      <c r="AC92" s="128"/>
      <c r="AD92" s="128"/>
      <c r="AE92" s="128"/>
      <c r="AF92" s="125"/>
      <c r="AG92" s="125"/>
      <c r="AH92" s="125"/>
      <c r="AI92" s="125"/>
      <c r="AJ92" s="128"/>
      <c r="AK92" s="128"/>
      <c r="AL92" s="152"/>
      <c r="AM92" s="31">
        <f t="shared" si="36"/>
        <v>0</v>
      </c>
    </row>
    <row r="93" spans="1:41" ht="81.75" customHeight="1" x14ac:dyDescent="0.3">
      <c r="A93" s="133"/>
      <c r="B93" s="134"/>
      <c r="C93" s="150"/>
      <c r="D93" s="63" t="s">
        <v>45</v>
      </c>
      <c r="E93" s="63" t="s">
        <v>33</v>
      </c>
      <c r="F93" s="63">
        <v>7.7249999999999996</v>
      </c>
      <c r="G93" s="77" t="s">
        <v>46</v>
      </c>
      <c r="H93" s="65">
        <v>1529.52</v>
      </c>
      <c r="I93" s="65">
        <f t="shared" si="52"/>
        <v>11815.541999999999</v>
      </c>
      <c r="J93" s="65" t="s">
        <v>206</v>
      </c>
      <c r="K93" s="66">
        <v>1.0900000000000001</v>
      </c>
      <c r="L93" s="65">
        <f t="shared" si="58"/>
        <v>12878.940780000001</v>
      </c>
      <c r="M93" s="128"/>
      <c r="N93" s="128"/>
      <c r="O93" s="128"/>
      <c r="P93" s="128"/>
      <c r="Q93" s="128"/>
      <c r="R93" s="125"/>
      <c r="S93" s="125"/>
      <c r="T93" s="125"/>
      <c r="U93" s="125"/>
      <c r="V93" s="125"/>
      <c r="W93" s="128"/>
      <c r="X93" s="128"/>
      <c r="Y93" s="128"/>
      <c r="Z93" s="128"/>
      <c r="AA93" s="128"/>
      <c r="AB93" s="128"/>
      <c r="AC93" s="128"/>
      <c r="AD93" s="128"/>
      <c r="AE93" s="128"/>
      <c r="AF93" s="125"/>
      <c r="AG93" s="125"/>
      <c r="AH93" s="125"/>
      <c r="AI93" s="125"/>
      <c r="AJ93" s="128"/>
      <c r="AK93" s="128"/>
      <c r="AL93" s="152"/>
      <c r="AM93" s="31">
        <f t="shared" si="36"/>
        <v>0</v>
      </c>
    </row>
    <row r="94" spans="1:41" ht="105.75" customHeight="1" x14ac:dyDescent="0.3">
      <c r="A94" s="133"/>
      <c r="B94" s="134"/>
      <c r="C94" s="150"/>
      <c r="D94" s="63" t="s">
        <v>207</v>
      </c>
      <c r="E94" s="63" t="s">
        <v>44</v>
      </c>
      <c r="F94" s="63">
        <v>1.45</v>
      </c>
      <c r="G94" s="77" t="s">
        <v>208</v>
      </c>
      <c r="H94" s="65">
        <v>355.2</v>
      </c>
      <c r="I94" s="65">
        <f>F94*H94</f>
        <v>515.04</v>
      </c>
      <c r="J94" s="65" t="s">
        <v>35</v>
      </c>
      <c r="K94" s="66" t="s">
        <v>35</v>
      </c>
      <c r="L94" s="65">
        <f>I94</f>
        <v>515.04</v>
      </c>
      <c r="M94" s="128"/>
      <c r="N94" s="128"/>
      <c r="O94" s="128"/>
      <c r="P94" s="128"/>
      <c r="Q94" s="128"/>
      <c r="R94" s="125"/>
      <c r="S94" s="125"/>
      <c r="T94" s="125"/>
      <c r="U94" s="125"/>
      <c r="V94" s="125"/>
      <c r="W94" s="128"/>
      <c r="X94" s="128"/>
      <c r="Y94" s="128"/>
      <c r="Z94" s="128"/>
      <c r="AA94" s="128"/>
      <c r="AB94" s="128"/>
      <c r="AC94" s="128"/>
      <c r="AD94" s="128"/>
      <c r="AE94" s="128"/>
      <c r="AF94" s="125"/>
      <c r="AG94" s="125"/>
      <c r="AH94" s="125"/>
      <c r="AI94" s="125"/>
      <c r="AJ94" s="128"/>
      <c r="AK94" s="128"/>
      <c r="AL94" s="152"/>
      <c r="AM94" s="31">
        <f t="shared" si="36"/>
        <v>0</v>
      </c>
    </row>
    <row r="95" spans="1:41" ht="44.25" customHeight="1" x14ac:dyDescent="0.3">
      <c r="A95" s="133"/>
      <c r="B95" s="134"/>
      <c r="C95" s="150"/>
      <c r="D95" s="63" t="s">
        <v>130</v>
      </c>
      <c r="E95" s="63" t="s">
        <v>38</v>
      </c>
      <c r="F95" s="63">
        <v>1</v>
      </c>
      <c r="G95" s="77" t="s">
        <v>131</v>
      </c>
      <c r="H95" s="65">
        <v>795.69</v>
      </c>
      <c r="I95" s="65">
        <f t="shared" si="52"/>
        <v>795.69</v>
      </c>
      <c r="J95" s="65" t="s">
        <v>35</v>
      </c>
      <c r="K95" s="65" t="s">
        <v>35</v>
      </c>
      <c r="L95" s="65">
        <f>I95</f>
        <v>795.69</v>
      </c>
      <c r="M95" s="129"/>
      <c r="N95" s="129"/>
      <c r="O95" s="129"/>
      <c r="P95" s="129"/>
      <c r="Q95" s="129"/>
      <c r="R95" s="126"/>
      <c r="S95" s="126"/>
      <c r="T95" s="126"/>
      <c r="U95" s="126"/>
      <c r="V95" s="126"/>
      <c r="W95" s="129"/>
      <c r="X95" s="129"/>
      <c r="Y95" s="129"/>
      <c r="Z95" s="129"/>
      <c r="AA95" s="129"/>
      <c r="AB95" s="129"/>
      <c r="AC95" s="129"/>
      <c r="AD95" s="129"/>
      <c r="AE95" s="129"/>
      <c r="AF95" s="126"/>
      <c r="AG95" s="126"/>
      <c r="AH95" s="126"/>
      <c r="AI95" s="126"/>
      <c r="AJ95" s="129"/>
      <c r="AK95" s="129"/>
      <c r="AL95" s="153"/>
      <c r="AM95" s="31">
        <f t="shared" si="36"/>
        <v>0</v>
      </c>
    </row>
    <row r="96" spans="1:41" ht="61.5" customHeight="1" x14ac:dyDescent="0.3">
      <c r="A96" s="133">
        <v>26</v>
      </c>
      <c r="B96" s="134" t="s">
        <v>166</v>
      </c>
      <c r="C96" s="150" t="s">
        <v>82</v>
      </c>
      <c r="D96" s="63" t="s">
        <v>133</v>
      </c>
      <c r="E96" s="63" t="s">
        <v>33</v>
      </c>
      <c r="F96" s="63">
        <v>0.73499999999999999</v>
      </c>
      <c r="G96" s="32" t="s">
        <v>134</v>
      </c>
      <c r="H96" s="65">
        <v>1726.47</v>
      </c>
      <c r="I96" s="65">
        <f>F96*H96</f>
        <v>1268.9554499999999</v>
      </c>
      <c r="J96" s="65" t="s">
        <v>209</v>
      </c>
      <c r="K96" s="66">
        <v>1.59</v>
      </c>
      <c r="L96" s="65">
        <f>I96*K96</f>
        <v>2017.6391655</v>
      </c>
      <c r="M96" s="127">
        <f>SUM(L96:L101)</f>
        <v>17592.294709000002</v>
      </c>
      <c r="N96" s="127">
        <f>M96*0.2</f>
        <v>3518.4589418000005</v>
      </c>
      <c r="O96" s="127">
        <f>M96+N96</f>
        <v>21110.753650800001</v>
      </c>
      <c r="P96" s="127">
        <f>O96</f>
        <v>21110.753650800001</v>
      </c>
      <c r="Q96" s="127">
        <f>SUM(W96:AC101)</f>
        <v>26484.498797932392</v>
      </c>
      <c r="R96" s="124">
        <v>1.048</v>
      </c>
      <c r="S96" s="124">
        <v>1.046</v>
      </c>
      <c r="T96" s="124">
        <v>1.046</v>
      </c>
      <c r="U96" s="124">
        <v>1.046</v>
      </c>
      <c r="V96" s="124">
        <v>1.046</v>
      </c>
      <c r="W96" s="127">
        <v>0</v>
      </c>
      <c r="X96" s="127">
        <v>0</v>
      </c>
      <c r="Y96" s="127">
        <v>0</v>
      </c>
      <c r="Z96" s="127">
        <v>0</v>
      </c>
      <c r="AA96" s="127">
        <v>0</v>
      </c>
      <c r="AB96" s="127">
        <v>0</v>
      </c>
      <c r="AC96" s="127">
        <f>O96*R96*S96*T96*U96*V96</f>
        <v>26484.498797932392</v>
      </c>
      <c r="AD96" s="127" t="e">
        <f>#REF!</f>
        <v>#REF!</v>
      </c>
      <c r="AE96" s="127" t="e">
        <f>AJ96+AI96</f>
        <v>#REF!</v>
      </c>
      <c r="AF96" s="124">
        <v>1.0740000000000001</v>
      </c>
      <c r="AG96" s="124">
        <v>1.0369999999999999</v>
      </c>
      <c r="AH96" s="124">
        <v>1.0389999999999999</v>
      </c>
      <c r="AI96" s="124">
        <v>0</v>
      </c>
      <c r="AJ96" s="127" t="e">
        <f>#REF!*AF96*AG96</f>
        <v>#REF!</v>
      </c>
      <c r="AK96" s="127" t="e">
        <f>AD96-#REF!</f>
        <v>#REF!</v>
      </c>
      <c r="AL96" s="151" t="e">
        <f>AD96-O96</f>
        <v>#REF!</v>
      </c>
      <c r="AM96" s="31">
        <f t="shared" ref="AM96:AM119" si="61">Q96/1.2</f>
        <v>22070.415664943663</v>
      </c>
    </row>
    <row r="97" spans="1:39" ht="90.75" customHeight="1" x14ac:dyDescent="0.3">
      <c r="A97" s="133"/>
      <c r="B97" s="134"/>
      <c r="C97" s="150"/>
      <c r="D97" s="63" t="s">
        <v>135</v>
      </c>
      <c r="E97" s="63" t="s">
        <v>33</v>
      </c>
      <c r="F97" s="63">
        <v>0.48499999999999999</v>
      </c>
      <c r="G97" s="32" t="s">
        <v>136</v>
      </c>
      <c r="H97" s="65">
        <v>2644.01</v>
      </c>
      <c r="I97" s="65">
        <f t="shared" ref="I97" si="62">F97*H97</f>
        <v>1282.3448500000002</v>
      </c>
      <c r="J97" s="65" t="s">
        <v>209</v>
      </c>
      <c r="K97" s="66">
        <v>1.59</v>
      </c>
      <c r="L97" s="65">
        <f>I97*K97</f>
        <v>2038.9283115000003</v>
      </c>
      <c r="M97" s="128"/>
      <c r="N97" s="128"/>
      <c r="O97" s="128"/>
      <c r="P97" s="128"/>
      <c r="Q97" s="128"/>
      <c r="R97" s="125"/>
      <c r="S97" s="125"/>
      <c r="T97" s="125"/>
      <c r="U97" s="125"/>
      <c r="V97" s="125"/>
      <c r="W97" s="128"/>
      <c r="X97" s="128"/>
      <c r="Y97" s="128"/>
      <c r="Z97" s="128"/>
      <c r="AA97" s="128"/>
      <c r="AB97" s="128"/>
      <c r="AC97" s="128"/>
      <c r="AD97" s="128"/>
      <c r="AE97" s="128"/>
      <c r="AF97" s="125"/>
      <c r="AG97" s="125"/>
      <c r="AH97" s="125"/>
      <c r="AI97" s="125"/>
      <c r="AJ97" s="128"/>
      <c r="AK97" s="128"/>
      <c r="AL97" s="152"/>
      <c r="AM97" s="31">
        <f t="shared" si="61"/>
        <v>0</v>
      </c>
    </row>
    <row r="98" spans="1:39" ht="69.75" customHeight="1" x14ac:dyDescent="0.3">
      <c r="A98" s="133"/>
      <c r="B98" s="134"/>
      <c r="C98" s="150"/>
      <c r="D98" s="63" t="s">
        <v>137</v>
      </c>
      <c r="E98" s="63" t="s">
        <v>33</v>
      </c>
      <c r="F98" s="63">
        <v>0.39500000000000002</v>
      </c>
      <c r="G98" s="32" t="s">
        <v>138</v>
      </c>
      <c r="H98" s="65">
        <v>3030.24</v>
      </c>
      <c r="I98" s="65">
        <f t="shared" ref="I98" si="63">F98*H98</f>
        <v>1196.9448</v>
      </c>
      <c r="J98" s="65" t="s">
        <v>209</v>
      </c>
      <c r="K98" s="66">
        <v>1.59</v>
      </c>
      <c r="L98" s="65">
        <f>I98*K98</f>
        <v>1903.1422320000001</v>
      </c>
      <c r="M98" s="128"/>
      <c r="N98" s="128"/>
      <c r="O98" s="128"/>
      <c r="P98" s="128"/>
      <c r="Q98" s="128"/>
      <c r="R98" s="125"/>
      <c r="S98" s="125"/>
      <c r="T98" s="125"/>
      <c r="U98" s="125"/>
      <c r="V98" s="125"/>
      <c r="W98" s="128"/>
      <c r="X98" s="128"/>
      <c r="Y98" s="128"/>
      <c r="Z98" s="128"/>
      <c r="AA98" s="128"/>
      <c r="AB98" s="128"/>
      <c r="AC98" s="128"/>
      <c r="AD98" s="128"/>
      <c r="AE98" s="128"/>
      <c r="AF98" s="125"/>
      <c r="AG98" s="125"/>
      <c r="AH98" s="125"/>
      <c r="AI98" s="125"/>
      <c r="AJ98" s="128"/>
      <c r="AK98" s="128"/>
      <c r="AL98" s="152"/>
      <c r="AM98" s="31">
        <f t="shared" si="61"/>
        <v>0</v>
      </c>
    </row>
    <row r="99" spans="1:39" ht="81.75" customHeight="1" x14ac:dyDescent="0.3">
      <c r="A99" s="133"/>
      <c r="B99" s="134"/>
      <c r="C99" s="150"/>
      <c r="D99" s="63" t="s">
        <v>139</v>
      </c>
      <c r="E99" s="32" t="s">
        <v>140</v>
      </c>
      <c r="F99" s="63">
        <v>490</v>
      </c>
      <c r="G99" s="77" t="s">
        <v>141</v>
      </c>
      <c r="H99" s="65">
        <v>4.79</v>
      </c>
      <c r="I99" s="65">
        <f t="shared" si="52"/>
        <v>2347.1</v>
      </c>
      <c r="J99" s="65" t="s">
        <v>186</v>
      </c>
      <c r="K99" s="66">
        <v>1.55</v>
      </c>
      <c r="L99" s="65">
        <f>I99*K99</f>
        <v>3638.0050000000001</v>
      </c>
      <c r="M99" s="128"/>
      <c r="N99" s="128"/>
      <c r="O99" s="128"/>
      <c r="P99" s="128"/>
      <c r="Q99" s="128"/>
      <c r="R99" s="125"/>
      <c r="S99" s="125"/>
      <c r="T99" s="125"/>
      <c r="U99" s="125"/>
      <c r="V99" s="125"/>
      <c r="W99" s="128"/>
      <c r="X99" s="128"/>
      <c r="Y99" s="128"/>
      <c r="Z99" s="128"/>
      <c r="AA99" s="128"/>
      <c r="AB99" s="128"/>
      <c r="AC99" s="128"/>
      <c r="AD99" s="128"/>
      <c r="AE99" s="128"/>
      <c r="AF99" s="125"/>
      <c r="AG99" s="125"/>
      <c r="AH99" s="125"/>
      <c r="AI99" s="125"/>
      <c r="AJ99" s="128"/>
      <c r="AK99" s="128"/>
      <c r="AL99" s="152"/>
      <c r="AM99" s="31">
        <f t="shared" si="61"/>
        <v>0</v>
      </c>
    </row>
    <row r="100" spans="1:39" ht="79.5" customHeight="1" x14ac:dyDescent="0.3">
      <c r="A100" s="133"/>
      <c r="B100" s="134"/>
      <c r="C100" s="150"/>
      <c r="D100" s="63" t="s">
        <v>142</v>
      </c>
      <c r="E100" s="32" t="s">
        <v>140</v>
      </c>
      <c r="F100" s="63">
        <v>20</v>
      </c>
      <c r="G100" s="77" t="s">
        <v>143</v>
      </c>
      <c r="H100" s="65">
        <v>201.98</v>
      </c>
      <c r="I100" s="65">
        <f t="shared" ref="I100" si="64">F100*H100</f>
        <v>4039.6</v>
      </c>
      <c r="J100" s="65" t="s">
        <v>186</v>
      </c>
      <c r="K100" s="66">
        <v>1.55</v>
      </c>
      <c r="L100" s="65">
        <f>I100*K100</f>
        <v>6261.38</v>
      </c>
      <c r="M100" s="128"/>
      <c r="N100" s="128"/>
      <c r="O100" s="128"/>
      <c r="P100" s="128"/>
      <c r="Q100" s="128"/>
      <c r="R100" s="125"/>
      <c r="S100" s="125"/>
      <c r="T100" s="125"/>
      <c r="U100" s="125"/>
      <c r="V100" s="125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5"/>
      <c r="AG100" s="125"/>
      <c r="AH100" s="125"/>
      <c r="AI100" s="125"/>
      <c r="AJ100" s="128"/>
      <c r="AK100" s="128"/>
      <c r="AL100" s="152"/>
      <c r="AM100" s="31">
        <f t="shared" si="61"/>
        <v>0</v>
      </c>
    </row>
    <row r="101" spans="1:39" ht="44.25" customHeight="1" x14ac:dyDescent="0.3">
      <c r="A101" s="133"/>
      <c r="B101" s="134"/>
      <c r="C101" s="150"/>
      <c r="D101" s="63" t="s">
        <v>116</v>
      </c>
      <c r="E101" s="32" t="s">
        <v>117</v>
      </c>
      <c r="F101" s="63">
        <v>2</v>
      </c>
      <c r="G101" s="77" t="s">
        <v>144</v>
      </c>
      <c r="H101" s="65">
        <v>866.6</v>
      </c>
      <c r="I101" s="65">
        <f t="shared" si="52"/>
        <v>1733.2</v>
      </c>
      <c r="J101" s="65" t="s">
        <v>35</v>
      </c>
      <c r="K101" s="65" t="s">
        <v>35</v>
      </c>
      <c r="L101" s="65">
        <f>I101</f>
        <v>1733.2</v>
      </c>
      <c r="M101" s="129"/>
      <c r="N101" s="129"/>
      <c r="O101" s="129"/>
      <c r="P101" s="129"/>
      <c r="Q101" s="129"/>
      <c r="R101" s="126"/>
      <c r="S101" s="126"/>
      <c r="T101" s="126"/>
      <c r="U101" s="126"/>
      <c r="V101" s="126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6"/>
      <c r="AG101" s="126"/>
      <c r="AH101" s="126"/>
      <c r="AI101" s="126"/>
      <c r="AJ101" s="129"/>
      <c r="AK101" s="129"/>
      <c r="AL101" s="153"/>
      <c r="AM101" s="31">
        <f t="shared" si="61"/>
        <v>0</v>
      </c>
    </row>
    <row r="102" spans="1:39" ht="72" customHeight="1" x14ac:dyDescent="0.3">
      <c r="A102" s="133">
        <v>27</v>
      </c>
      <c r="B102" s="134" t="s">
        <v>83</v>
      </c>
      <c r="C102" s="150" t="s">
        <v>84</v>
      </c>
      <c r="D102" s="63" t="s">
        <v>146</v>
      </c>
      <c r="E102" s="63" t="s">
        <v>33</v>
      </c>
      <c r="F102" s="63">
        <v>1.8</v>
      </c>
      <c r="G102" s="77" t="s">
        <v>147</v>
      </c>
      <c r="H102" s="65">
        <v>1289.6099999999999</v>
      </c>
      <c r="I102" s="65">
        <f t="shared" ref="I102" si="65">F102*H102</f>
        <v>2321.2979999999998</v>
      </c>
      <c r="J102" s="65" t="s">
        <v>212</v>
      </c>
      <c r="K102" s="66">
        <v>1.1000000000000001</v>
      </c>
      <c r="L102" s="65">
        <f t="shared" ref="L102" si="66">I102*K102</f>
        <v>2553.4277999999999</v>
      </c>
      <c r="M102" s="127">
        <f>SUM(L102:L111)</f>
        <v>48965.045379999996</v>
      </c>
      <c r="N102" s="127">
        <f>M102*0.2</f>
        <v>9793.0090760000003</v>
      </c>
      <c r="O102" s="127">
        <f>M102+N102</f>
        <v>58758.054455999998</v>
      </c>
      <c r="P102" s="127">
        <f>O102</f>
        <v>58758.054455999998</v>
      </c>
      <c r="Q102" s="127">
        <f>SUM(W102:AC111)</f>
        <v>73354.673832842323</v>
      </c>
      <c r="R102" s="124">
        <v>1.048</v>
      </c>
      <c r="S102" s="124">
        <v>1.046</v>
      </c>
      <c r="T102" s="124">
        <v>1.046</v>
      </c>
      <c r="U102" s="124">
        <v>1.046</v>
      </c>
      <c r="V102" s="124">
        <v>1.046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f>L111*1.2*R102*S102*T102*U102</f>
        <v>7831.5476749723239</v>
      </c>
      <c r="AC102" s="127">
        <f>SUM(L102:L110)*1.2*R102*S102*T102*U102*V102</f>
        <v>65523.12615787</v>
      </c>
      <c r="AD102" s="127" t="e">
        <f>#REF!</f>
        <v>#REF!</v>
      </c>
      <c r="AE102" s="127" t="e">
        <f>AJ102+AI102</f>
        <v>#REF!</v>
      </c>
      <c r="AF102" s="124">
        <v>1.0740000000000001</v>
      </c>
      <c r="AG102" s="124">
        <v>1.0369999999999999</v>
      </c>
      <c r="AH102" s="124">
        <v>1.0389999999999999</v>
      </c>
      <c r="AI102" s="124">
        <v>0</v>
      </c>
      <c r="AJ102" s="127" t="e">
        <f>#REF!*AF102*AG102</f>
        <v>#REF!</v>
      </c>
      <c r="AK102" s="127" t="e">
        <f>AD102-#REF!</f>
        <v>#REF!</v>
      </c>
      <c r="AL102" s="151" t="e">
        <f>AD102-O102</f>
        <v>#REF!</v>
      </c>
      <c r="AM102" s="31">
        <f t="shared" si="61"/>
        <v>61128.894860701941</v>
      </c>
    </row>
    <row r="103" spans="1:39" ht="90.75" customHeight="1" x14ac:dyDescent="0.3">
      <c r="A103" s="133"/>
      <c r="B103" s="134"/>
      <c r="C103" s="150"/>
      <c r="D103" s="63" t="s">
        <v>148</v>
      </c>
      <c r="E103" s="63" t="s">
        <v>33</v>
      </c>
      <c r="F103" s="63">
        <v>0.9</v>
      </c>
      <c r="G103" s="77" t="s">
        <v>149</v>
      </c>
      <c r="H103" s="65">
        <v>5233.16</v>
      </c>
      <c r="I103" s="65">
        <f t="shared" si="52"/>
        <v>4709.8440000000001</v>
      </c>
      <c r="J103" s="65" t="s">
        <v>211</v>
      </c>
      <c r="K103" s="66">
        <v>1.1100000000000001</v>
      </c>
      <c r="L103" s="65">
        <f t="shared" ref="L103:L109" si="67">I103*K103</f>
        <v>5227.9268400000001</v>
      </c>
      <c r="M103" s="128"/>
      <c r="N103" s="128"/>
      <c r="O103" s="128"/>
      <c r="P103" s="128"/>
      <c r="Q103" s="128"/>
      <c r="R103" s="125"/>
      <c r="S103" s="125"/>
      <c r="T103" s="125"/>
      <c r="U103" s="125"/>
      <c r="V103" s="125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5"/>
      <c r="AG103" s="125"/>
      <c r="AH103" s="125"/>
      <c r="AI103" s="125"/>
      <c r="AJ103" s="128"/>
      <c r="AK103" s="128"/>
      <c r="AL103" s="152"/>
      <c r="AM103" s="31">
        <f t="shared" si="61"/>
        <v>0</v>
      </c>
    </row>
    <row r="104" spans="1:39" ht="69.75" customHeight="1" x14ac:dyDescent="0.3">
      <c r="A104" s="133"/>
      <c r="B104" s="134"/>
      <c r="C104" s="150"/>
      <c r="D104" s="63" t="s">
        <v>150</v>
      </c>
      <c r="E104" s="63" t="s">
        <v>42</v>
      </c>
      <c r="F104" s="63">
        <v>37</v>
      </c>
      <c r="G104" s="77" t="s">
        <v>151</v>
      </c>
      <c r="H104" s="65">
        <v>308.56</v>
      </c>
      <c r="I104" s="65">
        <f>F104*H104</f>
        <v>11416.72</v>
      </c>
      <c r="J104" s="65" t="s">
        <v>211</v>
      </c>
      <c r="K104" s="66">
        <v>1.1100000000000001</v>
      </c>
      <c r="L104" s="65">
        <f t="shared" si="67"/>
        <v>12672.5592</v>
      </c>
      <c r="M104" s="128"/>
      <c r="N104" s="128"/>
      <c r="O104" s="128"/>
      <c r="P104" s="128"/>
      <c r="Q104" s="128"/>
      <c r="R104" s="125"/>
      <c r="S104" s="125"/>
      <c r="T104" s="125"/>
      <c r="U104" s="125"/>
      <c r="V104" s="125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5"/>
      <c r="AG104" s="125"/>
      <c r="AH104" s="125"/>
      <c r="AI104" s="125"/>
      <c r="AJ104" s="128"/>
      <c r="AK104" s="128"/>
      <c r="AL104" s="152"/>
      <c r="AM104" s="31">
        <f t="shared" si="61"/>
        <v>0</v>
      </c>
    </row>
    <row r="105" spans="1:39" ht="40.5" customHeight="1" x14ac:dyDescent="0.3">
      <c r="A105" s="133"/>
      <c r="B105" s="134"/>
      <c r="C105" s="150"/>
      <c r="D105" s="63" t="s">
        <v>152</v>
      </c>
      <c r="E105" s="63" t="s">
        <v>33</v>
      </c>
      <c r="F105" s="63">
        <v>0.9</v>
      </c>
      <c r="G105" s="77" t="s">
        <v>153</v>
      </c>
      <c r="H105" s="65">
        <v>515.19000000000005</v>
      </c>
      <c r="I105" s="65">
        <f t="shared" si="52"/>
        <v>463.67100000000005</v>
      </c>
      <c r="J105" s="65" t="s">
        <v>212</v>
      </c>
      <c r="K105" s="66">
        <v>1.1000000000000001</v>
      </c>
      <c r="L105" s="65">
        <f>I105*K105</f>
        <v>510.0381000000001</v>
      </c>
      <c r="M105" s="128"/>
      <c r="N105" s="128"/>
      <c r="O105" s="128"/>
      <c r="P105" s="128"/>
      <c r="Q105" s="128"/>
      <c r="R105" s="125"/>
      <c r="S105" s="125"/>
      <c r="T105" s="125"/>
      <c r="U105" s="125"/>
      <c r="V105" s="125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5"/>
      <c r="AG105" s="125"/>
      <c r="AH105" s="125"/>
      <c r="AI105" s="125"/>
      <c r="AJ105" s="128"/>
      <c r="AK105" s="128"/>
      <c r="AL105" s="152"/>
      <c r="AM105" s="31">
        <f t="shared" si="61"/>
        <v>0</v>
      </c>
    </row>
    <row r="106" spans="1:39" ht="66.75" customHeight="1" x14ac:dyDescent="0.3">
      <c r="A106" s="133"/>
      <c r="B106" s="134"/>
      <c r="C106" s="150"/>
      <c r="D106" s="63" t="s">
        <v>154</v>
      </c>
      <c r="E106" s="63" t="s">
        <v>42</v>
      </c>
      <c r="F106" s="63">
        <v>37</v>
      </c>
      <c r="G106" s="77" t="s">
        <v>155</v>
      </c>
      <c r="H106" s="65">
        <v>172.5</v>
      </c>
      <c r="I106" s="65">
        <f t="shared" si="52"/>
        <v>6382.5</v>
      </c>
      <c r="J106" s="65" t="s">
        <v>210</v>
      </c>
      <c r="K106" s="66">
        <v>1.49</v>
      </c>
      <c r="L106" s="65">
        <f t="shared" si="67"/>
        <v>9509.9249999999993</v>
      </c>
      <c r="M106" s="128"/>
      <c r="N106" s="128"/>
      <c r="O106" s="128"/>
      <c r="P106" s="128"/>
      <c r="Q106" s="128"/>
      <c r="R106" s="125"/>
      <c r="S106" s="125"/>
      <c r="T106" s="125"/>
      <c r="U106" s="125"/>
      <c r="V106" s="125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5"/>
      <c r="AG106" s="125"/>
      <c r="AH106" s="125"/>
      <c r="AI106" s="125"/>
      <c r="AJ106" s="128"/>
      <c r="AK106" s="128"/>
      <c r="AL106" s="152"/>
      <c r="AM106" s="31">
        <f t="shared" si="61"/>
        <v>0</v>
      </c>
    </row>
    <row r="107" spans="1:39" ht="66.75" customHeight="1" x14ac:dyDescent="0.3">
      <c r="A107" s="133"/>
      <c r="B107" s="134"/>
      <c r="C107" s="150"/>
      <c r="D107" s="63" t="s">
        <v>156</v>
      </c>
      <c r="E107" s="63" t="s">
        <v>33</v>
      </c>
      <c r="F107" s="63">
        <v>0.9</v>
      </c>
      <c r="G107" s="77" t="s">
        <v>155</v>
      </c>
      <c r="H107" s="65">
        <v>6822.56</v>
      </c>
      <c r="I107" s="65">
        <f t="shared" ref="I107:I109" si="68">F107*H107</f>
        <v>6140.3040000000001</v>
      </c>
      <c r="J107" s="65" t="s">
        <v>210</v>
      </c>
      <c r="K107" s="66">
        <v>1.49</v>
      </c>
      <c r="L107" s="65">
        <f t="shared" si="67"/>
        <v>9149.0529600000009</v>
      </c>
      <c r="M107" s="128"/>
      <c r="N107" s="128"/>
      <c r="O107" s="128"/>
      <c r="P107" s="128"/>
      <c r="Q107" s="128"/>
      <c r="R107" s="125"/>
      <c r="S107" s="125"/>
      <c r="T107" s="125"/>
      <c r="U107" s="125"/>
      <c r="V107" s="125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5"/>
      <c r="AG107" s="125"/>
      <c r="AH107" s="125"/>
      <c r="AI107" s="125"/>
      <c r="AJ107" s="128"/>
      <c r="AK107" s="128"/>
      <c r="AL107" s="152"/>
      <c r="AM107" s="31">
        <f t="shared" si="61"/>
        <v>0</v>
      </c>
    </row>
    <row r="108" spans="1:39" ht="66.75" customHeight="1" x14ac:dyDescent="0.3">
      <c r="A108" s="133"/>
      <c r="B108" s="134"/>
      <c r="C108" s="150"/>
      <c r="D108" s="63" t="s">
        <v>213</v>
      </c>
      <c r="E108" s="63" t="s">
        <v>92</v>
      </c>
      <c r="F108" s="63">
        <v>54</v>
      </c>
      <c r="G108" s="77" t="s">
        <v>159</v>
      </c>
      <c r="H108" s="65">
        <v>23.13</v>
      </c>
      <c r="I108" s="65">
        <f t="shared" si="68"/>
        <v>1249.02</v>
      </c>
      <c r="J108" s="65" t="s">
        <v>212</v>
      </c>
      <c r="K108" s="66">
        <v>1.1000000000000001</v>
      </c>
      <c r="L108" s="65">
        <f>I108*K108</f>
        <v>1373.922</v>
      </c>
      <c r="M108" s="128"/>
      <c r="N108" s="128"/>
      <c r="O108" s="128"/>
      <c r="P108" s="128"/>
      <c r="Q108" s="128"/>
      <c r="R108" s="125"/>
      <c r="S108" s="125"/>
      <c r="T108" s="125"/>
      <c r="U108" s="125"/>
      <c r="V108" s="125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5"/>
      <c r="AG108" s="125"/>
      <c r="AH108" s="125"/>
      <c r="AI108" s="125"/>
      <c r="AJ108" s="128"/>
      <c r="AK108" s="128"/>
      <c r="AL108" s="152"/>
      <c r="AM108" s="31">
        <f t="shared" si="61"/>
        <v>0</v>
      </c>
    </row>
    <row r="109" spans="1:39" ht="66.75" customHeight="1" x14ac:dyDescent="0.3">
      <c r="A109" s="133"/>
      <c r="B109" s="134"/>
      <c r="C109" s="150"/>
      <c r="D109" s="63" t="s">
        <v>157</v>
      </c>
      <c r="E109" s="63" t="s">
        <v>33</v>
      </c>
      <c r="F109" s="63">
        <v>0.9</v>
      </c>
      <c r="G109" s="77" t="s">
        <v>158</v>
      </c>
      <c r="H109" s="65">
        <v>1639.73</v>
      </c>
      <c r="I109" s="65">
        <f t="shared" si="68"/>
        <v>1475.7570000000001</v>
      </c>
      <c r="J109" s="65" t="s">
        <v>214</v>
      </c>
      <c r="K109" s="66">
        <v>1.64</v>
      </c>
      <c r="L109" s="65">
        <f t="shared" si="67"/>
        <v>2420.2414800000001</v>
      </c>
      <c r="M109" s="128"/>
      <c r="N109" s="128"/>
      <c r="O109" s="128"/>
      <c r="P109" s="128"/>
      <c r="Q109" s="128"/>
      <c r="R109" s="125"/>
      <c r="S109" s="125"/>
      <c r="T109" s="125"/>
      <c r="U109" s="125"/>
      <c r="V109" s="125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5"/>
      <c r="AG109" s="125"/>
      <c r="AH109" s="125"/>
      <c r="AI109" s="125"/>
      <c r="AJ109" s="128"/>
      <c r="AK109" s="128"/>
      <c r="AL109" s="152"/>
      <c r="AM109" s="31">
        <f t="shared" si="61"/>
        <v>0</v>
      </c>
    </row>
    <row r="110" spans="1:39" ht="100.5" customHeight="1" x14ac:dyDescent="0.3">
      <c r="A110" s="133"/>
      <c r="B110" s="134"/>
      <c r="C110" s="150"/>
      <c r="D110" s="63" t="s">
        <v>207</v>
      </c>
      <c r="E110" s="63" t="s">
        <v>44</v>
      </c>
      <c r="F110" s="63">
        <v>0.3</v>
      </c>
      <c r="G110" s="77" t="s">
        <v>215</v>
      </c>
      <c r="H110" s="65">
        <v>355.2</v>
      </c>
      <c r="I110" s="65">
        <f t="shared" si="52"/>
        <v>106.55999999999999</v>
      </c>
      <c r="J110" s="65" t="s">
        <v>35</v>
      </c>
      <c r="K110" s="66" t="s">
        <v>35</v>
      </c>
      <c r="L110" s="65">
        <f>I110</f>
        <v>106.55999999999999</v>
      </c>
      <c r="M110" s="128"/>
      <c r="N110" s="128"/>
      <c r="O110" s="128"/>
      <c r="P110" s="128"/>
      <c r="Q110" s="128"/>
      <c r="R110" s="125"/>
      <c r="S110" s="125"/>
      <c r="T110" s="125"/>
      <c r="U110" s="125"/>
      <c r="V110" s="125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5"/>
      <c r="AG110" s="125"/>
      <c r="AH110" s="125"/>
      <c r="AI110" s="125"/>
      <c r="AJ110" s="128"/>
      <c r="AK110" s="128"/>
      <c r="AL110" s="152"/>
      <c r="AM110" s="31">
        <f t="shared" si="61"/>
        <v>0</v>
      </c>
    </row>
    <row r="111" spans="1:39" ht="44.25" customHeight="1" x14ac:dyDescent="0.3">
      <c r="A111" s="133"/>
      <c r="B111" s="134"/>
      <c r="C111" s="150"/>
      <c r="D111" s="63" t="s">
        <v>145</v>
      </c>
      <c r="E111" s="32" t="s">
        <v>117</v>
      </c>
      <c r="F111" s="63">
        <v>0.86</v>
      </c>
      <c r="G111" s="77" t="s">
        <v>104</v>
      </c>
      <c r="H111" s="65">
        <v>6327.2</v>
      </c>
      <c r="I111" s="65">
        <f t="shared" si="52"/>
        <v>5441.3919999999998</v>
      </c>
      <c r="J111" s="65" t="s">
        <v>35</v>
      </c>
      <c r="K111" s="65" t="s">
        <v>35</v>
      </c>
      <c r="L111" s="65">
        <f>I111</f>
        <v>5441.3919999999998</v>
      </c>
      <c r="M111" s="129"/>
      <c r="N111" s="129"/>
      <c r="O111" s="129"/>
      <c r="P111" s="129"/>
      <c r="Q111" s="129"/>
      <c r="R111" s="126"/>
      <c r="S111" s="126"/>
      <c r="T111" s="126"/>
      <c r="U111" s="126"/>
      <c r="V111" s="126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6"/>
      <c r="AG111" s="126"/>
      <c r="AH111" s="126"/>
      <c r="AI111" s="126"/>
      <c r="AJ111" s="129"/>
      <c r="AK111" s="129"/>
      <c r="AL111" s="153"/>
      <c r="AM111" s="31">
        <f t="shared" si="61"/>
        <v>0</v>
      </c>
    </row>
    <row r="112" spans="1:39" ht="31.5" customHeight="1" x14ac:dyDescent="0.3">
      <c r="A112" s="133">
        <v>28</v>
      </c>
      <c r="B112" s="134" t="s">
        <v>85</v>
      </c>
      <c r="C112" s="150" t="s">
        <v>86</v>
      </c>
      <c r="D112" s="63" t="s">
        <v>132</v>
      </c>
      <c r="E112" s="63" t="s">
        <v>36</v>
      </c>
      <c r="F112" s="63">
        <v>1</v>
      </c>
      <c r="G112" s="32" t="s">
        <v>160</v>
      </c>
      <c r="H112" s="65">
        <v>2246.6999999999998</v>
      </c>
      <c r="I112" s="65">
        <f t="shared" si="52"/>
        <v>2246.6999999999998</v>
      </c>
      <c r="J112" s="65" t="s">
        <v>176</v>
      </c>
      <c r="K112" s="66">
        <v>1.44</v>
      </c>
      <c r="L112" s="65">
        <f t="shared" ref="L112:L115" si="69">I112*K112</f>
        <v>3235.2479999999996</v>
      </c>
      <c r="M112" s="127">
        <f>SUM(L112:L115)</f>
        <v>3911.3247047999994</v>
      </c>
      <c r="N112" s="127">
        <f>M112*0.2</f>
        <v>782.26494095999988</v>
      </c>
      <c r="O112" s="127">
        <f>M112+N112</f>
        <v>4693.5896457599993</v>
      </c>
      <c r="P112" s="127">
        <f>O112</f>
        <v>4693.5896457599993</v>
      </c>
      <c r="Q112" s="127">
        <f>SUM(W112:AC115)</f>
        <v>4918.8819487564797</v>
      </c>
      <c r="R112" s="124">
        <v>1.048</v>
      </c>
      <c r="S112" s="124">
        <v>1.046</v>
      </c>
      <c r="T112" s="124">
        <v>1.046</v>
      </c>
      <c r="U112" s="124">
        <v>1.046</v>
      </c>
      <c r="V112" s="124">
        <v>1.046</v>
      </c>
      <c r="W112" s="127">
        <v>0</v>
      </c>
      <c r="X112" s="127">
        <v>0</v>
      </c>
      <c r="Y112" s="127">
        <f>O112*R112</f>
        <v>4918.8819487564797</v>
      </c>
      <c r="Z112" s="127">
        <v>0</v>
      </c>
      <c r="AA112" s="127">
        <v>0</v>
      </c>
      <c r="AB112" s="127">
        <v>0</v>
      </c>
      <c r="AC112" s="127">
        <v>0</v>
      </c>
      <c r="AD112" s="127" t="e">
        <f>#REF!</f>
        <v>#REF!</v>
      </c>
      <c r="AE112" s="127" t="e">
        <f>AJ112+AI112</f>
        <v>#REF!</v>
      </c>
      <c r="AF112" s="124">
        <v>1.0740000000000001</v>
      </c>
      <c r="AG112" s="124">
        <v>1.0369999999999999</v>
      </c>
      <c r="AH112" s="124">
        <v>1.0389999999999999</v>
      </c>
      <c r="AI112" s="124">
        <v>0</v>
      </c>
      <c r="AJ112" s="127" t="e">
        <f>#REF!*AF112*AG112</f>
        <v>#REF!</v>
      </c>
      <c r="AK112" s="127" t="e">
        <f>AD112-#REF!</f>
        <v>#REF!</v>
      </c>
      <c r="AL112" s="151" t="e">
        <f>AD112-O112</f>
        <v>#REF!</v>
      </c>
      <c r="AM112" s="31">
        <f t="shared" si="61"/>
        <v>4099.0682906304</v>
      </c>
    </row>
    <row r="113" spans="1:41" ht="90.75" customHeight="1" x14ac:dyDescent="0.3">
      <c r="A113" s="133"/>
      <c r="B113" s="134"/>
      <c r="C113" s="150"/>
      <c r="D113" s="63" t="s">
        <v>41</v>
      </c>
      <c r="E113" s="63" t="s">
        <v>42</v>
      </c>
      <c r="F113" s="63">
        <v>5.2</v>
      </c>
      <c r="G113" s="77" t="s">
        <v>163</v>
      </c>
      <c r="H113" s="65">
        <v>24.86</v>
      </c>
      <c r="I113" s="65">
        <f t="shared" si="52"/>
        <v>129.27199999999999</v>
      </c>
      <c r="J113" s="65" t="s">
        <v>205</v>
      </c>
      <c r="K113" s="66">
        <v>1.1100000000000001</v>
      </c>
      <c r="L113" s="65">
        <f t="shared" si="69"/>
        <v>143.49191999999999</v>
      </c>
      <c r="M113" s="128"/>
      <c r="N113" s="128"/>
      <c r="O113" s="128"/>
      <c r="P113" s="128"/>
      <c r="Q113" s="128"/>
      <c r="R113" s="125"/>
      <c r="S113" s="125"/>
      <c r="T113" s="125"/>
      <c r="U113" s="125"/>
      <c r="V113" s="125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5"/>
      <c r="AG113" s="125"/>
      <c r="AH113" s="125"/>
      <c r="AI113" s="125"/>
      <c r="AJ113" s="128"/>
      <c r="AK113" s="128"/>
      <c r="AL113" s="152"/>
      <c r="AM113" s="31">
        <f t="shared" si="61"/>
        <v>0</v>
      </c>
    </row>
    <row r="114" spans="1:41" ht="69.75" customHeight="1" x14ac:dyDescent="0.3">
      <c r="A114" s="133"/>
      <c r="B114" s="134"/>
      <c r="C114" s="150"/>
      <c r="D114" s="63" t="s">
        <v>161</v>
      </c>
      <c r="E114" s="63" t="s">
        <v>42</v>
      </c>
      <c r="F114" s="63">
        <v>5.2</v>
      </c>
      <c r="G114" s="77" t="s">
        <v>162</v>
      </c>
      <c r="H114" s="65">
        <v>37.99</v>
      </c>
      <c r="I114" s="65">
        <f t="shared" si="52"/>
        <v>197.54800000000003</v>
      </c>
      <c r="J114" s="65" t="s">
        <v>218</v>
      </c>
      <c r="K114" s="66">
        <v>1.62</v>
      </c>
      <c r="L114" s="65">
        <f t="shared" si="69"/>
        <v>320.02776000000006</v>
      </c>
      <c r="M114" s="128"/>
      <c r="N114" s="128"/>
      <c r="O114" s="128"/>
      <c r="P114" s="128"/>
      <c r="Q114" s="128"/>
      <c r="R114" s="125"/>
      <c r="S114" s="125"/>
      <c r="T114" s="125"/>
      <c r="U114" s="125"/>
      <c r="V114" s="125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5"/>
      <c r="AG114" s="125"/>
      <c r="AH114" s="125"/>
      <c r="AI114" s="125"/>
      <c r="AJ114" s="128"/>
      <c r="AK114" s="128"/>
      <c r="AL114" s="152"/>
      <c r="AM114" s="31">
        <f t="shared" si="61"/>
        <v>0</v>
      </c>
    </row>
    <row r="115" spans="1:41" ht="108" customHeight="1" x14ac:dyDescent="0.3">
      <c r="A115" s="133"/>
      <c r="B115" s="134"/>
      <c r="C115" s="150"/>
      <c r="D115" s="63" t="s">
        <v>217</v>
      </c>
      <c r="E115" s="63" t="s">
        <v>33</v>
      </c>
      <c r="F115" s="63">
        <v>6.8000000000000005E-2</v>
      </c>
      <c r="G115" s="77" t="s">
        <v>216</v>
      </c>
      <c r="H115" s="65">
        <v>1929.53</v>
      </c>
      <c r="I115" s="65">
        <f t="shared" si="52"/>
        <v>131.20804000000001</v>
      </c>
      <c r="J115" s="65" t="s">
        <v>218</v>
      </c>
      <c r="K115" s="66">
        <v>1.62</v>
      </c>
      <c r="L115" s="65">
        <f t="shared" si="69"/>
        <v>212.55702480000002</v>
      </c>
      <c r="M115" s="128"/>
      <c r="N115" s="128"/>
      <c r="O115" s="128"/>
      <c r="P115" s="129"/>
      <c r="Q115" s="129"/>
      <c r="R115" s="125"/>
      <c r="S115" s="125"/>
      <c r="T115" s="125"/>
      <c r="U115" s="125"/>
      <c r="V115" s="125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5"/>
      <c r="AG115" s="125"/>
      <c r="AH115" s="125"/>
      <c r="AI115" s="125"/>
      <c r="AJ115" s="128"/>
      <c r="AK115" s="128"/>
      <c r="AL115" s="152"/>
      <c r="AM115" s="31">
        <f t="shared" si="61"/>
        <v>0</v>
      </c>
    </row>
    <row r="116" spans="1:41" ht="31.5" customHeight="1" x14ac:dyDescent="0.3">
      <c r="A116" s="133">
        <v>29</v>
      </c>
      <c r="B116" s="134" t="s">
        <v>87</v>
      </c>
      <c r="C116" s="150" t="s">
        <v>86</v>
      </c>
      <c r="D116" s="63" t="s">
        <v>132</v>
      </c>
      <c r="E116" s="63" t="s">
        <v>36</v>
      </c>
      <c r="F116" s="63">
        <v>1</v>
      </c>
      <c r="G116" s="32" t="s">
        <v>160</v>
      </c>
      <c r="H116" s="65">
        <v>2246.6999999999998</v>
      </c>
      <c r="I116" s="65">
        <f t="shared" ref="I116:I119" si="70">F116*H116</f>
        <v>2246.6999999999998</v>
      </c>
      <c r="J116" s="65" t="s">
        <v>176</v>
      </c>
      <c r="K116" s="66">
        <v>1.44</v>
      </c>
      <c r="L116" s="65">
        <f t="shared" ref="L116:L119" si="71">I116*K116</f>
        <v>3235.2479999999996</v>
      </c>
      <c r="M116" s="127">
        <f>SUM(L116:L119)</f>
        <v>3911.3247047999994</v>
      </c>
      <c r="N116" s="127">
        <f>M116*0.2</f>
        <v>782.26494095999988</v>
      </c>
      <c r="O116" s="127">
        <f>M116+N116</f>
        <v>4693.5896457599993</v>
      </c>
      <c r="P116" s="127">
        <f>O116</f>
        <v>4693.5896457599993</v>
      </c>
      <c r="Q116" s="127">
        <f>SUM(W116:AC119)</f>
        <v>4918.8819487564797</v>
      </c>
      <c r="R116" s="124">
        <v>1.048</v>
      </c>
      <c r="S116" s="124">
        <v>1.046</v>
      </c>
      <c r="T116" s="124">
        <v>1.046</v>
      </c>
      <c r="U116" s="124">
        <v>1.046</v>
      </c>
      <c r="V116" s="124">
        <v>1.046</v>
      </c>
      <c r="W116" s="127">
        <v>0</v>
      </c>
      <c r="X116" s="127">
        <v>0</v>
      </c>
      <c r="Y116" s="127">
        <f>O116*R116</f>
        <v>4918.8819487564797</v>
      </c>
      <c r="Z116" s="127">
        <v>0</v>
      </c>
      <c r="AA116" s="127">
        <v>0</v>
      </c>
      <c r="AB116" s="127">
        <v>0</v>
      </c>
      <c r="AC116" s="127">
        <v>0</v>
      </c>
      <c r="AD116" s="127" t="e">
        <f>#REF!</f>
        <v>#REF!</v>
      </c>
      <c r="AE116" s="127" t="e">
        <f>AJ116+AI116</f>
        <v>#REF!</v>
      </c>
      <c r="AF116" s="124">
        <v>1.0740000000000001</v>
      </c>
      <c r="AG116" s="124">
        <v>1.0369999999999999</v>
      </c>
      <c r="AH116" s="124">
        <v>1.0389999999999999</v>
      </c>
      <c r="AI116" s="124">
        <v>0</v>
      </c>
      <c r="AJ116" s="127" t="e">
        <f>#REF!*AF116*AG116</f>
        <v>#REF!</v>
      </c>
      <c r="AK116" s="127" t="e">
        <f>AD116-#REF!</f>
        <v>#REF!</v>
      </c>
      <c r="AL116" s="151" t="e">
        <f>AD116-O116</f>
        <v>#REF!</v>
      </c>
      <c r="AM116" s="31">
        <f t="shared" si="61"/>
        <v>4099.0682906304</v>
      </c>
    </row>
    <row r="117" spans="1:41" ht="90.75" customHeight="1" x14ac:dyDescent="0.3">
      <c r="A117" s="133"/>
      <c r="B117" s="134"/>
      <c r="C117" s="150"/>
      <c r="D117" s="63" t="s">
        <v>41</v>
      </c>
      <c r="E117" s="63" t="s">
        <v>42</v>
      </c>
      <c r="F117" s="63">
        <v>5.2</v>
      </c>
      <c r="G117" s="77" t="s">
        <v>163</v>
      </c>
      <c r="H117" s="65">
        <v>24.86</v>
      </c>
      <c r="I117" s="65">
        <f t="shared" si="70"/>
        <v>129.27199999999999</v>
      </c>
      <c r="J117" s="65" t="s">
        <v>205</v>
      </c>
      <c r="K117" s="66">
        <v>1.1100000000000001</v>
      </c>
      <c r="L117" s="65">
        <f t="shared" si="71"/>
        <v>143.49191999999999</v>
      </c>
      <c r="M117" s="128"/>
      <c r="N117" s="128"/>
      <c r="O117" s="128"/>
      <c r="P117" s="128"/>
      <c r="Q117" s="128"/>
      <c r="R117" s="125"/>
      <c r="S117" s="125"/>
      <c r="T117" s="125"/>
      <c r="U117" s="125"/>
      <c r="V117" s="125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5"/>
      <c r="AG117" s="125"/>
      <c r="AH117" s="125"/>
      <c r="AI117" s="125"/>
      <c r="AJ117" s="128"/>
      <c r="AK117" s="128"/>
      <c r="AL117" s="152"/>
      <c r="AM117" s="31">
        <f t="shared" si="61"/>
        <v>0</v>
      </c>
    </row>
    <row r="118" spans="1:41" ht="69.75" customHeight="1" x14ac:dyDescent="0.3">
      <c r="A118" s="133"/>
      <c r="B118" s="134"/>
      <c r="C118" s="150"/>
      <c r="D118" s="63" t="s">
        <v>161</v>
      </c>
      <c r="E118" s="63" t="s">
        <v>42</v>
      </c>
      <c r="F118" s="63">
        <v>5.2</v>
      </c>
      <c r="G118" s="77" t="s">
        <v>162</v>
      </c>
      <c r="H118" s="65">
        <v>37.99</v>
      </c>
      <c r="I118" s="65">
        <f t="shared" si="70"/>
        <v>197.54800000000003</v>
      </c>
      <c r="J118" s="65" t="s">
        <v>218</v>
      </c>
      <c r="K118" s="66">
        <v>1.62</v>
      </c>
      <c r="L118" s="65">
        <f t="shared" si="71"/>
        <v>320.02776000000006</v>
      </c>
      <c r="M118" s="128"/>
      <c r="N118" s="128"/>
      <c r="O118" s="128"/>
      <c r="P118" s="128"/>
      <c r="Q118" s="128"/>
      <c r="R118" s="125"/>
      <c r="S118" s="125"/>
      <c r="T118" s="125"/>
      <c r="U118" s="125"/>
      <c r="V118" s="125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5"/>
      <c r="AG118" s="125"/>
      <c r="AH118" s="125"/>
      <c r="AI118" s="125"/>
      <c r="AJ118" s="128"/>
      <c r="AK118" s="128"/>
      <c r="AL118" s="152"/>
      <c r="AM118" s="31">
        <f t="shared" si="61"/>
        <v>0</v>
      </c>
    </row>
    <row r="119" spans="1:41" ht="110.25" customHeight="1" x14ac:dyDescent="0.3">
      <c r="A119" s="133"/>
      <c r="B119" s="134"/>
      <c r="C119" s="150"/>
      <c r="D119" s="63" t="s">
        <v>217</v>
      </c>
      <c r="E119" s="63" t="s">
        <v>33</v>
      </c>
      <c r="F119" s="63">
        <v>6.8000000000000005E-2</v>
      </c>
      <c r="G119" s="77" t="s">
        <v>216</v>
      </c>
      <c r="H119" s="65">
        <v>1929.53</v>
      </c>
      <c r="I119" s="65">
        <f t="shared" si="70"/>
        <v>131.20804000000001</v>
      </c>
      <c r="J119" s="65" t="s">
        <v>218</v>
      </c>
      <c r="K119" s="66">
        <v>1.62</v>
      </c>
      <c r="L119" s="65">
        <f t="shared" si="71"/>
        <v>212.55702480000002</v>
      </c>
      <c r="M119" s="129"/>
      <c r="N119" s="129"/>
      <c r="O119" s="129"/>
      <c r="P119" s="129"/>
      <c r="Q119" s="129"/>
      <c r="R119" s="126"/>
      <c r="S119" s="126"/>
      <c r="T119" s="126"/>
      <c r="U119" s="126"/>
      <c r="V119" s="126"/>
      <c r="W119" s="129"/>
      <c r="X119" s="129"/>
      <c r="Y119" s="129"/>
      <c r="Z119" s="129"/>
      <c r="AA119" s="129"/>
      <c r="AB119" s="129"/>
      <c r="AC119" s="129"/>
      <c r="AD119" s="128"/>
      <c r="AE119" s="128"/>
      <c r="AF119" s="125"/>
      <c r="AG119" s="125"/>
      <c r="AH119" s="125"/>
      <c r="AI119" s="125"/>
      <c r="AJ119" s="128"/>
      <c r="AK119" s="128"/>
      <c r="AL119" s="152"/>
      <c r="AM119" s="31">
        <f t="shared" si="61"/>
        <v>0</v>
      </c>
    </row>
    <row r="120" spans="1:41" ht="82.5" customHeight="1" x14ac:dyDescent="0.3">
      <c r="A120" s="133">
        <v>30</v>
      </c>
      <c r="B120" s="134" t="s">
        <v>259</v>
      </c>
      <c r="C120" s="130">
        <v>6</v>
      </c>
      <c r="D120" s="63" t="s">
        <v>217</v>
      </c>
      <c r="E120" s="63" t="s">
        <v>33</v>
      </c>
      <c r="F120" s="63">
        <v>5.7729999999999997</v>
      </c>
      <c r="G120" s="77" t="s">
        <v>216</v>
      </c>
      <c r="H120" s="65">
        <v>1929.53</v>
      </c>
      <c r="I120" s="65">
        <v>11139.176689999998</v>
      </c>
      <c r="J120" s="65" t="s">
        <v>218</v>
      </c>
      <c r="K120" s="66">
        <v>1.62</v>
      </c>
      <c r="L120" s="65">
        <v>18045.466237799999</v>
      </c>
      <c r="M120" s="127">
        <f>SUM(L120:L126)</f>
        <v>55257.153235599995</v>
      </c>
      <c r="N120" s="127">
        <f>M120*0.2</f>
        <v>11051.43064712</v>
      </c>
      <c r="O120" s="127">
        <f>M120+N120</f>
        <v>66308.583882719991</v>
      </c>
      <c r="P120" s="87">
        <f>O120</f>
        <v>66308.583882719991</v>
      </c>
      <c r="Q120" s="87">
        <f>P120</f>
        <v>66308.583882719991</v>
      </c>
      <c r="R120" s="124">
        <v>1.046</v>
      </c>
      <c r="S120" s="124">
        <v>1.042</v>
      </c>
      <c r="T120" s="124">
        <v>1.042</v>
      </c>
      <c r="U120" s="124">
        <v>1.042</v>
      </c>
      <c r="V120" s="124">
        <v>1.042</v>
      </c>
      <c r="W120" s="124">
        <v>0</v>
      </c>
      <c r="X120" s="127">
        <f>Q120</f>
        <v>66308.583882719991</v>
      </c>
      <c r="Y120" s="124">
        <v>0</v>
      </c>
      <c r="Z120" s="124">
        <v>0</v>
      </c>
      <c r="AA120" s="124"/>
      <c r="AB120" s="124">
        <v>0</v>
      </c>
      <c r="AC120" s="124">
        <v>0</v>
      </c>
      <c r="AD120" s="88"/>
      <c r="AE120" s="88"/>
      <c r="AF120" s="89"/>
      <c r="AG120" s="89"/>
      <c r="AH120" s="89"/>
      <c r="AI120" s="89"/>
      <c r="AJ120" s="88"/>
      <c r="AK120" s="88"/>
      <c r="AL120" s="90"/>
    </row>
    <row r="121" spans="1:41" ht="63.75" customHeight="1" x14ac:dyDescent="0.3">
      <c r="A121" s="133"/>
      <c r="B121" s="134"/>
      <c r="C121" s="131"/>
      <c r="D121" s="63" t="s">
        <v>161</v>
      </c>
      <c r="E121" s="63" t="s">
        <v>42</v>
      </c>
      <c r="F121" s="63">
        <v>224.45</v>
      </c>
      <c r="G121" s="77" t="s">
        <v>162</v>
      </c>
      <c r="H121" s="65">
        <v>37.99</v>
      </c>
      <c r="I121" s="65">
        <v>8526.8554999999997</v>
      </c>
      <c r="J121" s="65" t="s">
        <v>218</v>
      </c>
      <c r="K121" s="66">
        <v>1.62</v>
      </c>
      <c r="L121" s="65">
        <v>13813.50591</v>
      </c>
      <c r="M121" s="128"/>
      <c r="N121" s="128"/>
      <c r="O121" s="128"/>
      <c r="P121" s="91"/>
      <c r="Q121" s="91"/>
      <c r="R121" s="125"/>
      <c r="S121" s="125"/>
      <c r="T121" s="125"/>
      <c r="U121" s="125"/>
      <c r="V121" s="125"/>
      <c r="W121" s="125"/>
      <c r="X121" s="128"/>
      <c r="Y121" s="125"/>
      <c r="Z121" s="125"/>
      <c r="AA121" s="125"/>
      <c r="AB121" s="125"/>
      <c r="AC121" s="125"/>
      <c r="AD121" s="88"/>
      <c r="AE121" s="88"/>
      <c r="AF121" s="89"/>
      <c r="AG121" s="89"/>
      <c r="AH121" s="89"/>
      <c r="AI121" s="89"/>
      <c r="AJ121" s="88"/>
      <c r="AK121" s="88"/>
      <c r="AL121" s="90"/>
    </row>
    <row r="122" spans="1:41" ht="64.5" customHeight="1" x14ac:dyDescent="0.3">
      <c r="A122" s="133"/>
      <c r="B122" s="134"/>
      <c r="C122" s="131"/>
      <c r="D122" s="63" t="s">
        <v>253</v>
      </c>
      <c r="E122" s="63" t="s">
        <v>33</v>
      </c>
      <c r="F122" s="63">
        <v>5.7729999999999997</v>
      </c>
      <c r="G122" s="77" t="s">
        <v>254</v>
      </c>
      <c r="H122" s="65">
        <v>1599.54</v>
      </c>
      <c r="I122" s="65">
        <v>9234.1444199999987</v>
      </c>
      <c r="J122" s="65" t="s">
        <v>206</v>
      </c>
      <c r="K122" s="66">
        <v>1.0900000000000001</v>
      </c>
      <c r="L122" s="65">
        <v>10065.217417799999</v>
      </c>
      <c r="M122" s="128"/>
      <c r="N122" s="128"/>
      <c r="O122" s="128"/>
      <c r="P122" s="91"/>
      <c r="Q122" s="91"/>
      <c r="R122" s="125"/>
      <c r="S122" s="125"/>
      <c r="T122" s="125"/>
      <c r="U122" s="125"/>
      <c r="V122" s="125"/>
      <c r="W122" s="125"/>
      <c r="X122" s="128"/>
      <c r="Y122" s="125"/>
      <c r="Z122" s="125"/>
      <c r="AA122" s="125">
        <v>0</v>
      </c>
      <c r="AB122" s="125"/>
      <c r="AC122" s="125"/>
      <c r="AD122" s="88"/>
      <c r="AE122" s="88"/>
      <c r="AF122" s="89"/>
      <c r="AG122" s="89"/>
      <c r="AH122" s="89"/>
      <c r="AI122" s="89"/>
      <c r="AJ122" s="88"/>
      <c r="AK122" s="88"/>
      <c r="AL122" s="90"/>
    </row>
    <row r="123" spans="1:41" ht="65.25" customHeight="1" x14ac:dyDescent="0.3">
      <c r="A123" s="133"/>
      <c r="B123" s="134"/>
      <c r="C123" s="131"/>
      <c r="D123" s="63" t="s">
        <v>41</v>
      </c>
      <c r="E123" s="63" t="s">
        <v>42</v>
      </c>
      <c r="F123" s="63">
        <v>224.45</v>
      </c>
      <c r="G123" s="77" t="s">
        <v>43</v>
      </c>
      <c r="H123" s="65">
        <v>24.86</v>
      </c>
      <c r="I123" s="65">
        <v>5579.8269999999993</v>
      </c>
      <c r="J123" s="65" t="s">
        <v>205</v>
      </c>
      <c r="K123" s="66">
        <v>1.1100000000000001</v>
      </c>
      <c r="L123" s="65">
        <v>6193.60797</v>
      </c>
      <c r="M123" s="128"/>
      <c r="N123" s="128"/>
      <c r="O123" s="128"/>
      <c r="P123" s="91"/>
      <c r="Q123" s="91"/>
      <c r="R123" s="125"/>
      <c r="S123" s="125"/>
      <c r="T123" s="125"/>
      <c r="U123" s="125"/>
      <c r="V123" s="125"/>
      <c r="W123" s="125"/>
      <c r="X123" s="128"/>
      <c r="Y123" s="125"/>
      <c r="Z123" s="125"/>
      <c r="AA123" s="125"/>
      <c r="AB123" s="125"/>
      <c r="AC123" s="125"/>
      <c r="AD123" s="88"/>
      <c r="AE123" s="88"/>
      <c r="AF123" s="89"/>
      <c r="AG123" s="89"/>
      <c r="AH123" s="89"/>
      <c r="AI123" s="89"/>
      <c r="AJ123" s="88"/>
      <c r="AK123" s="88"/>
      <c r="AL123" s="90"/>
    </row>
    <row r="124" spans="1:41" ht="45" customHeight="1" x14ac:dyDescent="0.3">
      <c r="A124" s="133"/>
      <c r="B124" s="134"/>
      <c r="C124" s="131"/>
      <c r="D124" s="63" t="s">
        <v>255</v>
      </c>
      <c r="E124" s="63" t="s">
        <v>33</v>
      </c>
      <c r="F124" s="63">
        <v>0.5</v>
      </c>
      <c r="G124" s="77" t="s">
        <v>256</v>
      </c>
      <c r="H124" s="65">
        <v>3337.82</v>
      </c>
      <c r="I124" s="65">
        <v>1668.91</v>
      </c>
      <c r="J124" s="65" t="s">
        <v>209</v>
      </c>
      <c r="K124" s="66">
        <v>1.59</v>
      </c>
      <c r="L124" s="65">
        <v>2653.5669000000003</v>
      </c>
      <c r="M124" s="128"/>
      <c r="N124" s="128"/>
      <c r="O124" s="128"/>
      <c r="P124" s="91"/>
      <c r="Q124" s="91"/>
      <c r="R124" s="125"/>
      <c r="S124" s="125"/>
      <c r="T124" s="125"/>
      <c r="U124" s="125"/>
      <c r="V124" s="125"/>
      <c r="W124" s="125"/>
      <c r="X124" s="128"/>
      <c r="Y124" s="125"/>
      <c r="Z124" s="125"/>
      <c r="AA124" s="125"/>
      <c r="AB124" s="125"/>
      <c r="AC124" s="125"/>
      <c r="AD124" s="88"/>
      <c r="AE124" s="88"/>
      <c r="AF124" s="89"/>
      <c r="AG124" s="89"/>
      <c r="AH124" s="89"/>
      <c r="AI124" s="89"/>
      <c r="AJ124" s="88"/>
      <c r="AK124" s="88"/>
      <c r="AL124" s="90"/>
    </row>
    <row r="125" spans="1:41" ht="78.75" customHeight="1" x14ac:dyDescent="0.3">
      <c r="A125" s="133"/>
      <c r="B125" s="134"/>
      <c r="C125" s="131"/>
      <c r="D125" s="63" t="s">
        <v>207</v>
      </c>
      <c r="E125" s="63" t="s">
        <v>44</v>
      </c>
      <c r="F125" s="63">
        <v>3.3690000000000002</v>
      </c>
      <c r="G125" s="77" t="s">
        <v>215</v>
      </c>
      <c r="H125" s="65">
        <v>355.2</v>
      </c>
      <c r="I125" s="65">
        <v>1196.6688000000001</v>
      </c>
      <c r="J125" s="65" t="s">
        <v>35</v>
      </c>
      <c r="K125" s="66" t="s">
        <v>35</v>
      </c>
      <c r="L125" s="65">
        <v>1196.6688000000001</v>
      </c>
      <c r="M125" s="128"/>
      <c r="N125" s="128"/>
      <c r="O125" s="128"/>
      <c r="P125" s="91"/>
      <c r="Q125" s="91"/>
      <c r="R125" s="125"/>
      <c r="S125" s="125"/>
      <c r="T125" s="125"/>
      <c r="U125" s="125"/>
      <c r="V125" s="125"/>
      <c r="W125" s="125"/>
      <c r="X125" s="128"/>
      <c r="Y125" s="125"/>
      <c r="Z125" s="125"/>
      <c r="AA125" s="125"/>
      <c r="AB125" s="125"/>
      <c r="AC125" s="125"/>
      <c r="AD125" s="88"/>
      <c r="AE125" s="88"/>
      <c r="AF125" s="89"/>
      <c r="AG125" s="89"/>
      <c r="AH125" s="89"/>
      <c r="AI125" s="89"/>
      <c r="AJ125" s="88"/>
      <c r="AK125" s="88"/>
      <c r="AL125" s="90"/>
    </row>
    <row r="126" spans="1:41" ht="82.5" customHeight="1" x14ac:dyDescent="0.3">
      <c r="A126" s="133"/>
      <c r="B126" s="134"/>
      <c r="C126" s="132"/>
      <c r="D126" s="63" t="s">
        <v>257</v>
      </c>
      <c r="E126" s="63" t="s">
        <v>38</v>
      </c>
      <c r="F126" s="63">
        <v>1</v>
      </c>
      <c r="G126" s="77" t="s">
        <v>258</v>
      </c>
      <c r="H126" s="65">
        <v>3289.12</v>
      </c>
      <c r="I126" s="65">
        <v>3289.12</v>
      </c>
      <c r="J126" s="65" t="s">
        <v>35</v>
      </c>
      <c r="K126" s="66" t="s">
        <v>35</v>
      </c>
      <c r="L126" s="65">
        <v>3289.12</v>
      </c>
      <c r="M126" s="129"/>
      <c r="N126" s="129"/>
      <c r="O126" s="129"/>
      <c r="P126" s="92"/>
      <c r="Q126" s="92"/>
      <c r="R126" s="126"/>
      <c r="S126" s="126"/>
      <c r="T126" s="126"/>
      <c r="U126" s="126"/>
      <c r="V126" s="126"/>
      <c r="W126" s="126"/>
      <c r="X126" s="129"/>
      <c r="Y126" s="126"/>
      <c r="Z126" s="126"/>
      <c r="AA126" s="126"/>
      <c r="AB126" s="126"/>
      <c r="AC126" s="126"/>
      <c r="AD126" s="88"/>
      <c r="AE126" s="88"/>
      <c r="AF126" s="89"/>
      <c r="AG126" s="89"/>
      <c r="AH126" s="89"/>
      <c r="AI126" s="89"/>
      <c r="AJ126" s="88"/>
      <c r="AK126" s="88"/>
      <c r="AL126" s="90"/>
    </row>
    <row r="127" spans="1:41" ht="78" customHeight="1" x14ac:dyDescent="0.25">
      <c r="A127" s="93">
        <v>31</v>
      </c>
      <c r="B127" s="32" t="s">
        <v>260</v>
      </c>
      <c r="C127" s="73">
        <v>35</v>
      </c>
      <c r="D127" s="63" t="s">
        <v>88</v>
      </c>
      <c r="E127" s="63" t="s">
        <v>92</v>
      </c>
      <c r="F127" s="63">
        <v>10</v>
      </c>
      <c r="G127" s="32" t="s">
        <v>225</v>
      </c>
      <c r="H127" s="65">
        <v>27469.919999999998</v>
      </c>
      <c r="I127" s="65">
        <f>F127*H127</f>
        <v>274699.19999999995</v>
      </c>
      <c r="J127" s="65" t="s">
        <v>176</v>
      </c>
      <c r="K127" s="66">
        <v>1.44</v>
      </c>
      <c r="L127" s="65">
        <f>I127*K127</f>
        <v>395566.84799999994</v>
      </c>
      <c r="M127" s="65">
        <f>SUM(L127:L127)</f>
        <v>395566.84799999994</v>
      </c>
      <c r="N127" s="65">
        <f t="shared" ref="N127:N132" si="72">M127*0.2</f>
        <v>79113.369599999991</v>
      </c>
      <c r="O127" s="65">
        <f>(M127+N127)</f>
        <v>474680.21759999992</v>
      </c>
      <c r="P127" s="65">
        <f t="shared" ref="P127:P132" si="73">O127</f>
        <v>474680.21759999992</v>
      </c>
      <c r="Q127" s="65">
        <f>SUM(W127:AC127)</f>
        <v>511705.27457279991</v>
      </c>
      <c r="R127" s="74">
        <v>1.0780000000000001</v>
      </c>
      <c r="S127" s="74">
        <v>1.0529999999999999</v>
      </c>
      <c r="T127" s="74">
        <v>1.044</v>
      </c>
      <c r="U127" s="74">
        <v>1.044</v>
      </c>
      <c r="V127" s="74">
        <v>1.044</v>
      </c>
      <c r="W127" s="65">
        <v>0</v>
      </c>
      <c r="X127" s="65">
        <v>0</v>
      </c>
      <c r="Y127" s="65">
        <f>O127*R127</f>
        <v>511705.27457279991</v>
      </c>
      <c r="Z127" s="65">
        <v>0</v>
      </c>
      <c r="AA127" s="65">
        <v>0</v>
      </c>
      <c r="AB127" s="65">
        <v>0</v>
      </c>
      <c r="AC127" s="65">
        <v>0</v>
      </c>
      <c r="AD127" s="65" t="s">
        <v>222</v>
      </c>
      <c r="AE127" s="65" t="s">
        <v>222</v>
      </c>
      <c r="AF127" s="65" t="s">
        <v>222</v>
      </c>
      <c r="AG127" s="65" t="s">
        <v>222</v>
      </c>
      <c r="AH127" s="65" t="s">
        <v>222</v>
      </c>
      <c r="AI127" s="65" t="s">
        <v>222</v>
      </c>
      <c r="AJ127" s="65" t="s">
        <v>222</v>
      </c>
      <c r="AK127" s="65" t="s">
        <v>222</v>
      </c>
      <c r="AL127" s="67" t="e">
        <f>#REF!-#REF!</f>
        <v>#REF!</v>
      </c>
      <c r="AO127" s="31"/>
    </row>
    <row r="128" spans="1:41" ht="84" customHeight="1" x14ac:dyDescent="0.3">
      <c r="A128" s="93">
        <v>32</v>
      </c>
      <c r="B128" s="32" t="s">
        <v>262</v>
      </c>
      <c r="C128" s="84" t="s">
        <v>67</v>
      </c>
      <c r="D128" s="63" t="s">
        <v>128</v>
      </c>
      <c r="E128" s="63" t="s">
        <v>36</v>
      </c>
      <c r="F128" s="63">
        <v>1</v>
      </c>
      <c r="G128" s="32" t="s">
        <v>129</v>
      </c>
      <c r="H128" s="65">
        <v>40047.11</v>
      </c>
      <c r="I128" s="65">
        <f t="shared" ref="I128" si="74">F128*H128</f>
        <v>40047.11</v>
      </c>
      <c r="J128" s="65" t="s">
        <v>203</v>
      </c>
      <c r="K128" s="66">
        <v>1.44</v>
      </c>
      <c r="L128" s="65">
        <f>I128*K128</f>
        <v>57667.838400000001</v>
      </c>
      <c r="M128" s="85">
        <f>SUM(L128:L128)</f>
        <v>57667.838400000001</v>
      </c>
      <c r="N128" s="85">
        <f t="shared" si="72"/>
        <v>11533.56768</v>
      </c>
      <c r="O128" s="85">
        <f>M128+N128</f>
        <v>69201.406080000001</v>
      </c>
      <c r="P128" s="85">
        <f t="shared" si="73"/>
        <v>69201.406080000001</v>
      </c>
      <c r="Q128" s="85">
        <f>SUM(W128:AC128)</f>
        <v>78552.868889214718</v>
      </c>
      <c r="R128" s="74">
        <v>1.0780000000000001</v>
      </c>
      <c r="S128" s="74">
        <v>1.0529999999999999</v>
      </c>
      <c r="T128" s="74">
        <v>1.044</v>
      </c>
      <c r="U128" s="74">
        <v>1.044</v>
      </c>
      <c r="V128" s="74">
        <v>1.044</v>
      </c>
      <c r="W128" s="85">
        <v>0</v>
      </c>
      <c r="X128" s="85">
        <v>0</v>
      </c>
      <c r="Y128" s="85">
        <v>0</v>
      </c>
      <c r="Z128" s="85">
        <f>O128*R128*S128</f>
        <v>78552.868889214718</v>
      </c>
      <c r="AA128" s="85">
        <v>0</v>
      </c>
      <c r="AB128" s="85">
        <v>0</v>
      </c>
      <c r="AC128" s="85">
        <v>0</v>
      </c>
      <c r="AD128" s="85" t="e">
        <f>#REF!</f>
        <v>#REF!</v>
      </c>
      <c r="AE128" s="85" t="e">
        <f>AJ128+AI128</f>
        <v>#REF!</v>
      </c>
      <c r="AF128" s="75">
        <v>1.0740000000000001</v>
      </c>
      <c r="AG128" s="75">
        <v>1.0369999999999999</v>
      </c>
      <c r="AH128" s="75">
        <v>1.0389999999999999</v>
      </c>
      <c r="AI128" s="75">
        <v>0</v>
      </c>
      <c r="AJ128" s="85" t="e">
        <f>#REF!*AF128*AG128</f>
        <v>#REF!</v>
      </c>
      <c r="AK128" s="85" t="e">
        <f>AD128-#REF!</f>
        <v>#REF!</v>
      </c>
      <c r="AL128" s="86" t="e">
        <f>AD128-O128</f>
        <v>#REF!</v>
      </c>
      <c r="AM128" s="31">
        <f t="shared" ref="AM128" si="75">Q128/1.2</f>
        <v>65460.724074345599</v>
      </c>
      <c r="AO128" s="83"/>
    </row>
    <row r="129" spans="1:41" ht="109.5" customHeight="1" x14ac:dyDescent="0.3">
      <c r="A129" s="93">
        <v>33</v>
      </c>
      <c r="B129" s="32" t="s">
        <v>261</v>
      </c>
      <c r="C129" s="84" t="s">
        <v>67</v>
      </c>
      <c r="D129" s="63" t="s">
        <v>128</v>
      </c>
      <c r="E129" s="63" t="s">
        <v>36</v>
      </c>
      <c r="F129" s="63">
        <v>1</v>
      </c>
      <c r="G129" s="32" t="s">
        <v>129</v>
      </c>
      <c r="H129" s="65">
        <v>40047.11</v>
      </c>
      <c r="I129" s="65">
        <f t="shared" ref="I129" si="76">F129*H129</f>
        <v>40047.11</v>
      </c>
      <c r="J129" s="65" t="s">
        <v>203</v>
      </c>
      <c r="K129" s="66">
        <v>1.44</v>
      </c>
      <c r="L129" s="65">
        <f>I129*K129</f>
        <v>57667.838400000001</v>
      </c>
      <c r="M129" s="85">
        <f>SUM(L129:L129)</f>
        <v>57667.838400000001</v>
      </c>
      <c r="N129" s="85">
        <f t="shared" si="72"/>
        <v>11533.56768</v>
      </c>
      <c r="O129" s="85">
        <f>M129+N129</f>
        <v>69201.406080000001</v>
      </c>
      <c r="P129" s="85">
        <f t="shared" si="73"/>
        <v>69201.406080000001</v>
      </c>
      <c r="Q129" s="85">
        <f>SUM(W129:AC129)</f>
        <v>78552.868889214718</v>
      </c>
      <c r="R129" s="74">
        <v>1.0780000000000001</v>
      </c>
      <c r="S129" s="74">
        <v>1.0529999999999999</v>
      </c>
      <c r="T129" s="74">
        <v>1.044</v>
      </c>
      <c r="U129" s="74">
        <v>1.044</v>
      </c>
      <c r="V129" s="74">
        <v>1.044</v>
      </c>
      <c r="W129" s="85">
        <v>0</v>
      </c>
      <c r="X129" s="85">
        <v>0</v>
      </c>
      <c r="Y129" s="85">
        <v>0</v>
      </c>
      <c r="Z129" s="85">
        <f>O129*R129*S129</f>
        <v>78552.868889214718</v>
      </c>
      <c r="AA129" s="85">
        <v>0</v>
      </c>
      <c r="AB129" s="85">
        <v>0</v>
      </c>
      <c r="AC129" s="85">
        <v>0</v>
      </c>
      <c r="AD129" s="85" t="e">
        <f>#REF!</f>
        <v>#REF!</v>
      </c>
      <c r="AE129" s="85" t="e">
        <f>AJ129+AI129</f>
        <v>#REF!</v>
      </c>
      <c r="AF129" s="75">
        <v>1.0740000000000001</v>
      </c>
      <c r="AG129" s="75">
        <v>1.0369999999999999</v>
      </c>
      <c r="AH129" s="75">
        <v>1.0389999999999999</v>
      </c>
      <c r="AI129" s="75">
        <v>0</v>
      </c>
      <c r="AJ129" s="85" t="e">
        <f>#REF!*AF129*AG129</f>
        <v>#REF!</v>
      </c>
      <c r="AK129" s="85" t="e">
        <f>AD129-#REF!</f>
        <v>#REF!</v>
      </c>
      <c r="AL129" s="86" t="e">
        <f>AD129-O129</f>
        <v>#REF!</v>
      </c>
      <c r="AM129" s="31">
        <f t="shared" ref="AM129" si="77">Q129/1.2</f>
        <v>65460.724074345599</v>
      </c>
      <c r="AO129" s="83"/>
    </row>
    <row r="130" spans="1:41" ht="87.75" customHeight="1" x14ac:dyDescent="0.3">
      <c r="A130" s="93">
        <v>34</v>
      </c>
      <c r="B130" s="32" t="s">
        <v>263</v>
      </c>
      <c r="C130" s="84" t="s">
        <v>67</v>
      </c>
      <c r="D130" s="63" t="s">
        <v>164</v>
      </c>
      <c r="E130" s="63" t="s">
        <v>36</v>
      </c>
      <c r="F130" s="63">
        <v>1</v>
      </c>
      <c r="G130" s="32" t="s">
        <v>127</v>
      </c>
      <c r="H130" s="65">
        <v>45019.29</v>
      </c>
      <c r="I130" s="65">
        <f t="shared" ref="I130" si="78">F130*H130</f>
        <v>45019.29</v>
      </c>
      <c r="J130" s="65" t="s">
        <v>203</v>
      </c>
      <c r="K130" s="66">
        <v>1.44</v>
      </c>
      <c r="L130" s="65">
        <f t="shared" ref="L130" si="79">I130*K130</f>
        <v>64827.777600000001</v>
      </c>
      <c r="M130" s="65">
        <f>SUM(L130:L130)</f>
        <v>64827.777600000001</v>
      </c>
      <c r="N130" s="65">
        <f t="shared" si="72"/>
        <v>12965.555520000002</v>
      </c>
      <c r="O130" s="65">
        <f>M130+N130</f>
        <v>77793.333119999996</v>
      </c>
      <c r="P130" s="65">
        <f t="shared" si="73"/>
        <v>77793.333119999996</v>
      </c>
      <c r="Q130" s="65">
        <f>SUM(W130:AC130)</f>
        <v>92191.315123342953</v>
      </c>
      <c r="R130" s="74">
        <v>1.0780000000000001</v>
      </c>
      <c r="S130" s="74">
        <v>1.0529999999999999</v>
      </c>
      <c r="T130" s="74">
        <v>1.044</v>
      </c>
      <c r="U130" s="74">
        <v>1.044</v>
      </c>
      <c r="V130" s="74">
        <v>1.044</v>
      </c>
      <c r="W130" s="65">
        <v>0</v>
      </c>
      <c r="X130" s="65">
        <v>0</v>
      </c>
      <c r="Y130" s="65">
        <v>0</v>
      </c>
      <c r="Z130" s="65">
        <v>0</v>
      </c>
      <c r="AA130" s="65">
        <f>O130*R130*S130*T130</f>
        <v>92191.315123342953</v>
      </c>
      <c r="AB130" s="65">
        <v>0</v>
      </c>
      <c r="AC130" s="65">
        <v>0</v>
      </c>
      <c r="AD130" s="85" t="e">
        <f>#REF!</f>
        <v>#REF!</v>
      </c>
      <c r="AE130" s="85" t="e">
        <f>AJ130+AI130</f>
        <v>#REF!</v>
      </c>
      <c r="AF130" s="75">
        <v>1.0740000000000001</v>
      </c>
      <c r="AG130" s="75">
        <v>1.0369999999999999</v>
      </c>
      <c r="AH130" s="75">
        <v>1.0389999999999999</v>
      </c>
      <c r="AI130" s="75">
        <v>0</v>
      </c>
      <c r="AJ130" s="85" t="e">
        <f>#REF!*AF130*AG130</f>
        <v>#REF!</v>
      </c>
      <c r="AK130" s="85" t="e">
        <f>AD130-#REF!</f>
        <v>#REF!</v>
      </c>
      <c r="AL130" s="86" t="e">
        <f>AD130-O130</f>
        <v>#REF!</v>
      </c>
      <c r="AM130" s="31">
        <f t="shared" ref="AM130" si="80">Q130/1.2</f>
        <v>76826.095936119134</v>
      </c>
      <c r="AO130" s="83"/>
    </row>
    <row r="131" spans="1:41" ht="87.75" customHeight="1" x14ac:dyDescent="0.3">
      <c r="A131" s="63">
        <v>35</v>
      </c>
      <c r="B131" s="32" t="s">
        <v>264</v>
      </c>
      <c r="C131" s="84" t="s">
        <v>67</v>
      </c>
      <c r="D131" s="63" t="s">
        <v>164</v>
      </c>
      <c r="E131" s="63" t="s">
        <v>36</v>
      </c>
      <c r="F131" s="63">
        <v>1</v>
      </c>
      <c r="G131" s="32" t="s">
        <v>127</v>
      </c>
      <c r="H131" s="65">
        <v>45019.29</v>
      </c>
      <c r="I131" s="65">
        <f t="shared" ref="I131:I132" si="81">F131*H131</f>
        <v>45019.29</v>
      </c>
      <c r="J131" s="65" t="s">
        <v>203</v>
      </c>
      <c r="K131" s="66">
        <v>1.44</v>
      </c>
      <c r="L131" s="65">
        <f t="shared" ref="L131" si="82">I131*K131</f>
        <v>64827.777600000001</v>
      </c>
      <c r="M131" s="65">
        <f>SUM(L131:L131)</f>
        <v>64827.777600000001</v>
      </c>
      <c r="N131" s="65">
        <f t="shared" si="72"/>
        <v>12965.555520000002</v>
      </c>
      <c r="O131" s="65">
        <f>M131+N131</f>
        <v>77793.333119999996</v>
      </c>
      <c r="P131" s="65">
        <f t="shared" si="73"/>
        <v>77793.333119999996</v>
      </c>
      <c r="Q131" s="65">
        <f>SUM(W131:AC131)</f>
        <v>96247.732988770047</v>
      </c>
      <c r="R131" s="74">
        <v>1.0780000000000001</v>
      </c>
      <c r="S131" s="74">
        <v>1.0529999999999999</v>
      </c>
      <c r="T131" s="74">
        <v>1.044</v>
      </c>
      <c r="U131" s="74">
        <v>1.044</v>
      </c>
      <c r="V131" s="74">
        <v>1.044</v>
      </c>
      <c r="W131" s="65">
        <v>0</v>
      </c>
      <c r="X131" s="65">
        <v>0</v>
      </c>
      <c r="Y131" s="65">
        <v>0</v>
      </c>
      <c r="Z131" s="65">
        <v>0</v>
      </c>
      <c r="AA131" s="65">
        <v>0</v>
      </c>
      <c r="AB131" s="65">
        <f>O131*R131*S131*T131*U131</f>
        <v>96247.732988770047</v>
      </c>
      <c r="AC131" s="65">
        <v>0</v>
      </c>
      <c r="AD131" s="85" t="e">
        <f>#REF!</f>
        <v>#REF!</v>
      </c>
      <c r="AE131" s="85" t="e">
        <f>AJ131+AI131</f>
        <v>#REF!</v>
      </c>
      <c r="AF131" s="75">
        <v>1.0740000000000001</v>
      </c>
      <c r="AG131" s="75">
        <v>1.0369999999999999</v>
      </c>
      <c r="AH131" s="75">
        <v>1.0389999999999999</v>
      </c>
      <c r="AI131" s="75">
        <v>0</v>
      </c>
      <c r="AJ131" s="85" t="e">
        <f>#REF!*AF131*AG131</f>
        <v>#REF!</v>
      </c>
      <c r="AK131" s="85" t="e">
        <f>AD131-#REF!</f>
        <v>#REF!</v>
      </c>
      <c r="AL131" s="86" t="e">
        <f>AD131-O131</f>
        <v>#REF!</v>
      </c>
      <c r="AM131" s="31">
        <f t="shared" ref="AM131:AM132" si="83">Q131/1.2</f>
        <v>80206.444157308375</v>
      </c>
      <c r="AO131" s="83"/>
    </row>
    <row r="132" spans="1:41" ht="87.75" customHeight="1" x14ac:dyDescent="0.3">
      <c r="A132" s="133">
        <v>36</v>
      </c>
      <c r="B132" s="134" t="s">
        <v>266</v>
      </c>
      <c r="C132" s="130" t="s">
        <v>68</v>
      </c>
      <c r="D132" s="63" t="s">
        <v>267</v>
      </c>
      <c r="E132" s="63" t="s">
        <v>268</v>
      </c>
      <c r="F132" s="63">
        <v>1</v>
      </c>
      <c r="G132" s="32" t="s">
        <v>269</v>
      </c>
      <c r="H132" s="65">
        <v>5360.36</v>
      </c>
      <c r="I132" s="65">
        <f t="shared" si="81"/>
        <v>5360.36</v>
      </c>
      <c r="J132" s="65" t="s">
        <v>238</v>
      </c>
      <c r="K132" s="66">
        <v>1.41</v>
      </c>
      <c r="L132" s="65">
        <f>I132*K132</f>
        <v>7558.1075999999994</v>
      </c>
      <c r="M132" s="127">
        <f>SUM(L132:L135)</f>
        <v>11338.297</v>
      </c>
      <c r="N132" s="127">
        <f t="shared" si="72"/>
        <v>2267.6594</v>
      </c>
      <c r="O132" s="127">
        <f>(M132+N132)</f>
        <v>13605.956400000001</v>
      </c>
      <c r="P132" s="127">
        <f t="shared" si="73"/>
        <v>13605.956400000001</v>
      </c>
      <c r="Q132" s="127">
        <f>SUM(W132:AC135)</f>
        <v>17574.286535781557</v>
      </c>
      <c r="R132" s="124">
        <v>1.0780000000000001</v>
      </c>
      <c r="S132" s="124">
        <v>1.0529999999999999</v>
      </c>
      <c r="T132" s="124">
        <v>1.044</v>
      </c>
      <c r="U132" s="124">
        <v>1.044</v>
      </c>
      <c r="V132" s="124">
        <v>1.044</v>
      </c>
      <c r="W132" s="127">
        <v>0</v>
      </c>
      <c r="X132" s="127">
        <v>0</v>
      </c>
      <c r="Y132" s="127">
        <v>0</v>
      </c>
      <c r="Z132" s="127">
        <v>0</v>
      </c>
      <c r="AA132" s="127">
        <v>0</v>
      </c>
      <c r="AB132" s="127">
        <v>0</v>
      </c>
      <c r="AC132" s="127">
        <f>O132*R132*S132*T132*U132*V132</f>
        <v>17574.286535781557</v>
      </c>
      <c r="AD132" s="85" t="e">
        <f>#REF!</f>
        <v>#REF!</v>
      </c>
      <c r="AE132" s="85" t="e">
        <f>AJ132+AI132</f>
        <v>#REF!</v>
      </c>
      <c r="AF132" s="75">
        <v>1.0740000000000001</v>
      </c>
      <c r="AG132" s="75">
        <v>1.0369999999999999</v>
      </c>
      <c r="AH132" s="75">
        <v>1.0389999999999999</v>
      </c>
      <c r="AI132" s="75">
        <v>0</v>
      </c>
      <c r="AJ132" s="85" t="e">
        <f>#REF!*AF132*AG132</f>
        <v>#REF!</v>
      </c>
      <c r="AK132" s="85" t="e">
        <f>AD132-#REF!</f>
        <v>#REF!</v>
      </c>
      <c r="AL132" s="86" t="e">
        <f>AD132-O132</f>
        <v>#REF!</v>
      </c>
      <c r="AM132" s="31">
        <f t="shared" si="83"/>
        <v>14645.238779817964</v>
      </c>
      <c r="AO132" s="83"/>
    </row>
    <row r="133" spans="1:41" ht="87.75" customHeight="1" x14ac:dyDescent="0.3">
      <c r="A133" s="133"/>
      <c r="B133" s="134"/>
      <c r="C133" s="131"/>
      <c r="D133" s="63" t="s">
        <v>270</v>
      </c>
      <c r="E133" s="63" t="s">
        <v>44</v>
      </c>
      <c r="F133" s="63">
        <v>0.5</v>
      </c>
      <c r="G133" s="77" t="s">
        <v>271</v>
      </c>
      <c r="H133" s="65">
        <v>514.42999999999995</v>
      </c>
      <c r="I133" s="65">
        <f>F133*H133</f>
        <v>257.21499999999997</v>
      </c>
      <c r="J133" s="65" t="s">
        <v>35</v>
      </c>
      <c r="K133" s="66" t="s">
        <v>35</v>
      </c>
      <c r="L133" s="65">
        <f>I133</f>
        <v>257.21499999999997</v>
      </c>
      <c r="M133" s="128"/>
      <c r="N133" s="128"/>
      <c r="O133" s="128"/>
      <c r="P133" s="128"/>
      <c r="Q133" s="128"/>
      <c r="R133" s="125"/>
      <c r="S133" s="125"/>
      <c r="T133" s="125"/>
      <c r="U133" s="125"/>
      <c r="V133" s="125"/>
      <c r="W133" s="128"/>
      <c r="X133" s="128"/>
      <c r="Y133" s="128"/>
      <c r="Z133" s="128"/>
      <c r="AA133" s="128"/>
      <c r="AB133" s="128"/>
      <c r="AC133" s="128"/>
      <c r="AD133" s="88"/>
      <c r="AE133" s="88"/>
      <c r="AF133" s="89"/>
      <c r="AG133" s="89"/>
      <c r="AH133" s="89"/>
      <c r="AI133" s="89"/>
      <c r="AJ133" s="88"/>
      <c r="AK133" s="88"/>
      <c r="AL133" s="90"/>
      <c r="AO133" s="83"/>
    </row>
    <row r="134" spans="1:41" ht="87.75" customHeight="1" x14ac:dyDescent="0.3">
      <c r="A134" s="133"/>
      <c r="B134" s="134"/>
      <c r="C134" s="131"/>
      <c r="D134" s="63" t="s">
        <v>272</v>
      </c>
      <c r="E134" s="63" t="s">
        <v>33</v>
      </c>
      <c r="F134" s="63">
        <v>0.09</v>
      </c>
      <c r="G134" s="77" t="s">
        <v>273</v>
      </c>
      <c r="H134" s="65">
        <v>15505.16</v>
      </c>
      <c r="I134" s="65">
        <f>F134*H134</f>
        <v>1395.4643999999998</v>
      </c>
      <c r="J134" s="65" t="s">
        <v>35</v>
      </c>
      <c r="K134" s="66" t="s">
        <v>35</v>
      </c>
      <c r="L134" s="65">
        <f>I134</f>
        <v>1395.4643999999998</v>
      </c>
      <c r="M134" s="128"/>
      <c r="N134" s="128"/>
      <c r="O134" s="128"/>
      <c r="P134" s="128"/>
      <c r="Q134" s="128"/>
      <c r="R134" s="125"/>
      <c r="S134" s="125"/>
      <c r="T134" s="125"/>
      <c r="U134" s="125"/>
      <c r="V134" s="125"/>
      <c r="W134" s="128"/>
      <c r="X134" s="128"/>
      <c r="Y134" s="128"/>
      <c r="Z134" s="128"/>
      <c r="AA134" s="128"/>
      <c r="AB134" s="128"/>
      <c r="AC134" s="128"/>
      <c r="AD134" s="88"/>
      <c r="AE134" s="88"/>
      <c r="AF134" s="89"/>
      <c r="AG134" s="89"/>
      <c r="AH134" s="89"/>
      <c r="AI134" s="89"/>
      <c r="AJ134" s="88"/>
      <c r="AK134" s="88"/>
      <c r="AL134" s="90"/>
      <c r="AO134" s="83"/>
    </row>
    <row r="135" spans="1:41" ht="87.75" customHeight="1" x14ac:dyDescent="0.3">
      <c r="A135" s="133"/>
      <c r="B135" s="134"/>
      <c r="C135" s="132"/>
      <c r="D135" s="63" t="s">
        <v>274</v>
      </c>
      <c r="E135" s="63" t="s">
        <v>38</v>
      </c>
      <c r="F135" s="63">
        <v>1</v>
      </c>
      <c r="G135" s="77" t="s">
        <v>275</v>
      </c>
      <c r="H135" s="65">
        <v>2127.5100000000002</v>
      </c>
      <c r="I135" s="65">
        <v>2127.5100000000002</v>
      </c>
      <c r="J135" s="65" t="s">
        <v>35</v>
      </c>
      <c r="K135" s="65" t="s">
        <v>35</v>
      </c>
      <c r="L135" s="65">
        <f>I135</f>
        <v>2127.5100000000002</v>
      </c>
      <c r="M135" s="129"/>
      <c r="N135" s="129"/>
      <c r="O135" s="129"/>
      <c r="P135" s="129"/>
      <c r="Q135" s="129"/>
      <c r="R135" s="126"/>
      <c r="S135" s="126"/>
      <c r="T135" s="126"/>
      <c r="U135" s="126"/>
      <c r="V135" s="126"/>
      <c r="W135" s="129"/>
      <c r="X135" s="129"/>
      <c r="Y135" s="129"/>
      <c r="Z135" s="129"/>
      <c r="AA135" s="129"/>
      <c r="AB135" s="129"/>
      <c r="AC135" s="129"/>
      <c r="AD135" s="88"/>
      <c r="AE135" s="88"/>
      <c r="AF135" s="89"/>
      <c r="AG135" s="89"/>
      <c r="AH135" s="89"/>
      <c r="AI135" s="89"/>
      <c r="AJ135" s="88"/>
      <c r="AK135" s="88"/>
      <c r="AL135" s="90"/>
      <c r="AO135" s="83"/>
    </row>
    <row r="136" spans="1:41" ht="20.25" customHeight="1" x14ac:dyDescent="0.3">
      <c r="A136" s="170"/>
      <c r="B136" s="171"/>
      <c r="C136" s="171"/>
      <c r="D136" s="171"/>
      <c r="E136" s="171"/>
      <c r="F136" s="171"/>
      <c r="G136" s="171"/>
      <c r="H136" s="171"/>
      <c r="I136" s="171"/>
      <c r="J136" s="171"/>
      <c r="K136" s="171"/>
      <c r="L136" s="172"/>
      <c r="M136" s="94">
        <f>SUM(M9:M131)</f>
        <v>2975124.5423643985</v>
      </c>
      <c r="N136" s="94">
        <f>SUM(N9:N131)</f>
        <v>595024.90847287991</v>
      </c>
      <c r="O136" s="94">
        <f>SUM(O9:O131)</f>
        <v>3570149.4508372815</v>
      </c>
      <c r="P136" s="94">
        <f>SUM(P9:P135)</f>
        <v>3583755.4072372816</v>
      </c>
      <c r="Q136" s="94">
        <f t="shared" ref="Q136:AC136" si="84">SUM(Q9:Q135)</f>
        <v>3959490.4206576459</v>
      </c>
      <c r="R136" s="94"/>
      <c r="S136" s="94"/>
      <c r="T136" s="94"/>
      <c r="U136" s="94"/>
      <c r="V136" s="94"/>
      <c r="W136" s="94">
        <f t="shared" si="84"/>
        <v>25079.040000000001</v>
      </c>
      <c r="X136" s="94">
        <f t="shared" si="84"/>
        <v>748575.00809519994</v>
      </c>
      <c r="Y136" s="94">
        <f t="shared" si="84"/>
        <v>885796.63515080046</v>
      </c>
      <c r="Z136" s="94">
        <f t="shared" si="84"/>
        <v>604792.84589824511</v>
      </c>
      <c r="AA136" s="94">
        <f t="shared" si="84"/>
        <v>815761.25710513943</v>
      </c>
      <c r="AB136" s="94">
        <f t="shared" si="84"/>
        <v>462924.82693318813</v>
      </c>
      <c r="AC136" s="94">
        <f t="shared" si="84"/>
        <v>416560.80747507227</v>
      </c>
      <c r="AD136" s="94" t="e">
        <f t="shared" ref="AD136:AN136" si="85">SUM(AD26:AD119)</f>
        <v>#REF!</v>
      </c>
      <c r="AE136" s="94" t="e">
        <f t="shared" si="85"/>
        <v>#REF!</v>
      </c>
      <c r="AF136" s="94">
        <f t="shared" si="85"/>
        <v>20.406000000000006</v>
      </c>
      <c r="AG136" s="94">
        <f t="shared" si="85"/>
        <v>19.702999999999989</v>
      </c>
      <c r="AH136" s="94">
        <f t="shared" si="85"/>
        <v>19.741000000000003</v>
      </c>
      <c r="AI136" s="94">
        <f t="shared" si="85"/>
        <v>0</v>
      </c>
      <c r="AJ136" s="94" t="e">
        <f t="shared" si="85"/>
        <v>#REF!</v>
      </c>
      <c r="AK136" s="94" t="e">
        <f t="shared" si="85"/>
        <v>#REF!</v>
      </c>
      <c r="AL136" s="94" t="e">
        <f t="shared" si="85"/>
        <v>#REF!</v>
      </c>
      <c r="AM136" s="94">
        <f t="shared" si="85"/>
        <v>1936105.0246361012</v>
      </c>
      <c r="AN136" s="94">
        <f t="shared" si="85"/>
        <v>0</v>
      </c>
    </row>
    <row r="137" spans="1:41" ht="80.25" customHeight="1" x14ac:dyDescent="0.3">
      <c r="B137" s="49"/>
      <c r="N137" s="50"/>
      <c r="O137" s="51"/>
      <c r="P137" s="51"/>
      <c r="Q137" s="51"/>
      <c r="R137" s="51"/>
      <c r="S137" s="51"/>
      <c r="T137" s="51"/>
      <c r="U137" s="51"/>
      <c r="V137" s="51"/>
      <c r="Y137" s="54"/>
      <c r="Z137" s="54"/>
      <c r="AA137" s="55"/>
    </row>
    <row r="138" spans="1:41" ht="84" customHeight="1" x14ac:dyDescent="0.3">
      <c r="W138" s="31"/>
      <c r="X138" s="31"/>
      <c r="Y138" s="31"/>
      <c r="Z138" s="31"/>
      <c r="AA138" s="31"/>
      <c r="AB138" s="31"/>
      <c r="AC138" s="31"/>
    </row>
    <row r="139" spans="1:41" s="57" customFormat="1" ht="80.25" customHeight="1" x14ac:dyDescent="0.3">
      <c r="A139" s="95"/>
      <c r="B139" s="96"/>
      <c r="C139" s="97"/>
      <c r="P139" s="98"/>
      <c r="Q139" s="98"/>
      <c r="W139" s="58"/>
      <c r="X139" s="58"/>
      <c r="Y139" s="58"/>
      <c r="Z139" s="58"/>
      <c r="AA139" s="58"/>
      <c r="AB139" s="58"/>
      <c r="AC139" s="58"/>
      <c r="AD139" s="58"/>
      <c r="AE139" s="58"/>
      <c r="AF139" s="59"/>
      <c r="AG139" s="59"/>
      <c r="AH139" s="59"/>
      <c r="AI139" s="58"/>
      <c r="AJ139" s="58"/>
      <c r="AK139" s="58"/>
      <c r="AL139" s="60"/>
      <c r="AO139" s="61"/>
    </row>
  </sheetData>
  <mergeCells count="555">
    <mergeCell ref="U102:U111"/>
    <mergeCell ref="X102:X111"/>
    <mergeCell ref="T96:T101"/>
    <mergeCell ref="U96:U101"/>
    <mergeCell ref="Y102:Y111"/>
    <mergeCell ref="R102:R111"/>
    <mergeCell ref="A96:A101"/>
    <mergeCell ref="M96:M101"/>
    <mergeCell ref="N96:N101"/>
    <mergeCell ref="O96:O101"/>
    <mergeCell ref="P96:P101"/>
    <mergeCell ref="Q96:Q101"/>
    <mergeCell ref="R96:R101"/>
    <mergeCell ref="O102:O111"/>
    <mergeCell ref="P102:P111"/>
    <mergeCell ref="Q102:Q111"/>
    <mergeCell ref="N102:N111"/>
    <mergeCell ref="C102:C111"/>
    <mergeCell ref="M102:M111"/>
    <mergeCell ref="T102:T111"/>
    <mergeCell ref="AB33:AB43"/>
    <mergeCell ref="AC33:AC43"/>
    <mergeCell ref="AD33:AD43"/>
    <mergeCell ref="AD44:AD53"/>
    <mergeCell ref="AC67:AC73"/>
    <mergeCell ref="AD67:AD73"/>
    <mergeCell ref="AB74:AB81"/>
    <mergeCell ref="AC74:AC81"/>
    <mergeCell ref="AD74:AD81"/>
    <mergeCell ref="AB67:AB73"/>
    <mergeCell ref="A136:L136"/>
    <mergeCell ref="B96:B101"/>
    <mergeCell ref="B102:B111"/>
    <mergeCell ref="A102:A111"/>
    <mergeCell ref="A33:A43"/>
    <mergeCell ref="B33:B43"/>
    <mergeCell ref="C33:C43"/>
    <mergeCell ref="A54:A56"/>
    <mergeCell ref="B54:B56"/>
    <mergeCell ref="C54:C56"/>
    <mergeCell ref="A64:A66"/>
    <mergeCell ref="B64:B66"/>
    <mergeCell ref="C64:C66"/>
    <mergeCell ref="A67:A73"/>
    <mergeCell ref="A74:A81"/>
    <mergeCell ref="B74:B81"/>
    <mergeCell ref="C74:C81"/>
    <mergeCell ref="B57:B63"/>
    <mergeCell ref="C57:C63"/>
    <mergeCell ref="A90:A95"/>
    <mergeCell ref="B90:B95"/>
    <mergeCell ref="C90:C95"/>
    <mergeCell ref="A132:A135"/>
    <mergeCell ref="B132:B135"/>
    <mergeCell ref="M54:M56"/>
    <mergeCell ref="N54:N56"/>
    <mergeCell ref="O54:O56"/>
    <mergeCell ref="P54:P56"/>
    <mergeCell ref="Q54:Q56"/>
    <mergeCell ref="A57:A63"/>
    <mergeCell ref="C96:C101"/>
    <mergeCell ref="S96:S101"/>
    <mergeCell ref="AC44:AC53"/>
    <mergeCell ref="R57:R63"/>
    <mergeCell ref="S57:S63"/>
    <mergeCell ref="T57:T63"/>
    <mergeCell ref="U57:U63"/>
    <mergeCell ref="V57:V63"/>
    <mergeCell ref="X57:X63"/>
    <mergeCell ref="Y57:Y63"/>
    <mergeCell ref="Z57:Z63"/>
    <mergeCell ref="W54:W56"/>
    <mergeCell ref="W57:W63"/>
    <mergeCell ref="M57:M63"/>
    <mergeCell ref="N57:N63"/>
    <mergeCell ref="O57:O63"/>
    <mergeCell ref="P57:P63"/>
    <mergeCell ref="Q57:Q63"/>
    <mergeCell ref="AL33:AL43"/>
    <mergeCell ref="AG67:AG73"/>
    <mergeCell ref="AH67:AH73"/>
    <mergeCell ref="AI67:AI73"/>
    <mergeCell ref="AI33:AI43"/>
    <mergeCell ref="AG33:AG43"/>
    <mergeCell ref="AH33:AH43"/>
    <mergeCell ref="AE33:AE43"/>
    <mergeCell ref="AF33:AF43"/>
    <mergeCell ref="AJ33:AJ43"/>
    <mergeCell ref="AK33:AK43"/>
    <mergeCell ref="AE44:AE53"/>
    <mergeCell ref="AF44:AF53"/>
    <mergeCell ref="AG44:AG53"/>
    <mergeCell ref="AH44:AH53"/>
    <mergeCell ref="AI44:AI53"/>
    <mergeCell ref="AJ44:AJ53"/>
    <mergeCell ref="AK44:AK53"/>
    <mergeCell ref="AH54:AH56"/>
    <mergeCell ref="AI54:AI56"/>
    <mergeCell ref="AJ54:AJ56"/>
    <mergeCell ref="AK54:AK56"/>
    <mergeCell ref="AL54:AL56"/>
    <mergeCell ref="AG57:AG63"/>
    <mergeCell ref="O6:O7"/>
    <mergeCell ref="X4:Z4"/>
    <mergeCell ref="AI4:AK4"/>
    <mergeCell ref="AF6:AH6"/>
    <mergeCell ref="B5:B7"/>
    <mergeCell ref="C5:C7"/>
    <mergeCell ref="R26:R32"/>
    <mergeCell ref="S26:S32"/>
    <mergeCell ref="AJ26:AJ32"/>
    <mergeCell ref="Z26:Z32"/>
    <mergeCell ref="Y26:Y32"/>
    <mergeCell ref="Q26:Q32"/>
    <mergeCell ref="P26:P32"/>
    <mergeCell ref="O26:O32"/>
    <mergeCell ref="N26:N32"/>
    <mergeCell ref="M26:M32"/>
    <mergeCell ref="C26:C32"/>
    <mergeCell ref="B26:B32"/>
    <mergeCell ref="X26:X32"/>
    <mergeCell ref="U26:U32"/>
    <mergeCell ref="V26:V32"/>
    <mergeCell ref="T26:T32"/>
    <mergeCell ref="B11:B12"/>
    <mergeCell ref="R9:R10"/>
    <mergeCell ref="S33:S43"/>
    <mergeCell ref="T33:T43"/>
    <mergeCell ref="U33:U43"/>
    <mergeCell ref="V33:V43"/>
    <mergeCell ref="X33:X43"/>
    <mergeCell ref="Y33:Y43"/>
    <mergeCell ref="Z33:Z43"/>
    <mergeCell ref="AA33:AA43"/>
    <mergeCell ref="AA26:AA32"/>
    <mergeCell ref="M33:M43"/>
    <mergeCell ref="N33:N43"/>
    <mergeCell ref="O33:O43"/>
    <mergeCell ref="P33:P43"/>
    <mergeCell ref="Q33:Q43"/>
    <mergeCell ref="R33:R43"/>
    <mergeCell ref="A2:AL2"/>
    <mergeCell ref="A1:AL1"/>
    <mergeCell ref="P6:P7"/>
    <mergeCell ref="Q6:Q7"/>
    <mergeCell ref="AL5:AL7"/>
    <mergeCell ref="AD5:AK5"/>
    <mergeCell ref="AD6:AD7"/>
    <mergeCell ref="AE6:AE7"/>
    <mergeCell ref="D5:D7"/>
    <mergeCell ref="E5:E7"/>
    <mergeCell ref="F5:F7"/>
    <mergeCell ref="G5:G7"/>
    <mergeCell ref="H5:H7"/>
    <mergeCell ref="I5:I7"/>
    <mergeCell ref="L5:L7"/>
    <mergeCell ref="N6:N7"/>
    <mergeCell ref="A3:AL3"/>
    <mergeCell ref="M5:AC5"/>
    <mergeCell ref="A5:A7"/>
    <mergeCell ref="M6:M7"/>
    <mergeCell ref="J5:K6"/>
    <mergeCell ref="AI6:AK6"/>
    <mergeCell ref="A44:A53"/>
    <mergeCell ref="B44:B53"/>
    <mergeCell ref="C44:C53"/>
    <mergeCell ref="M44:M53"/>
    <mergeCell ref="N44:N53"/>
    <mergeCell ref="O44:O53"/>
    <mergeCell ref="P44:P53"/>
    <mergeCell ref="Q44:Q53"/>
    <mergeCell ref="R44:R53"/>
    <mergeCell ref="S44:S53"/>
    <mergeCell ref="T44:T53"/>
    <mergeCell ref="U44:U53"/>
    <mergeCell ref="V44:V53"/>
    <mergeCell ref="X44:X53"/>
    <mergeCell ref="Y44:Y53"/>
    <mergeCell ref="Z44:Z53"/>
    <mergeCell ref="AA44:AA53"/>
    <mergeCell ref="AB9:AB10"/>
    <mergeCell ref="AC9:AC10"/>
    <mergeCell ref="A11:A12"/>
    <mergeCell ref="AL44:AL53"/>
    <mergeCell ref="R54:R56"/>
    <mergeCell ref="S54:S56"/>
    <mergeCell ref="T54:T56"/>
    <mergeCell ref="U54:U56"/>
    <mergeCell ref="V54:V56"/>
    <mergeCell ref="X54:X56"/>
    <mergeCell ref="Y54:Y56"/>
    <mergeCell ref="Z54:Z56"/>
    <mergeCell ref="AA54:AA56"/>
    <mergeCell ref="AB54:AB56"/>
    <mergeCell ref="AC54:AC56"/>
    <mergeCell ref="AD54:AD56"/>
    <mergeCell ref="AE54:AE56"/>
    <mergeCell ref="AF54:AF56"/>
    <mergeCell ref="AG54:AG56"/>
    <mergeCell ref="AB44:AB53"/>
    <mergeCell ref="AI57:AI63"/>
    <mergeCell ref="AJ57:AJ63"/>
    <mergeCell ref="AK57:AK63"/>
    <mergeCell ref="AL57:AL63"/>
    <mergeCell ref="M64:M66"/>
    <mergeCell ref="N64:N66"/>
    <mergeCell ref="O64:O66"/>
    <mergeCell ref="P64:P66"/>
    <mergeCell ref="Q64:Q66"/>
    <mergeCell ref="R64:R66"/>
    <mergeCell ref="S64:S66"/>
    <mergeCell ref="T64:T66"/>
    <mergeCell ref="U64:U66"/>
    <mergeCell ref="V64:V66"/>
    <mergeCell ref="X64:X66"/>
    <mergeCell ref="Y64:Y66"/>
    <mergeCell ref="Z64:Z66"/>
    <mergeCell ref="AA64:AA66"/>
    <mergeCell ref="R67:R73"/>
    <mergeCell ref="S67:S73"/>
    <mergeCell ref="T67:T73"/>
    <mergeCell ref="U67:U73"/>
    <mergeCell ref="V67:V73"/>
    <mergeCell ref="X67:X73"/>
    <mergeCell ref="Y67:Y73"/>
    <mergeCell ref="Z67:Z73"/>
    <mergeCell ref="B67:B73"/>
    <mergeCell ref="C67:C73"/>
    <mergeCell ref="M67:M73"/>
    <mergeCell ref="N67:N73"/>
    <mergeCell ref="O67:O73"/>
    <mergeCell ref="P67:P73"/>
    <mergeCell ref="Q67:Q73"/>
    <mergeCell ref="AL67:AL73"/>
    <mergeCell ref="AJ74:AJ81"/>
    <mergeCell ref="AK102:AK111"/>
    <mergeCell ref="AF96:AF101"/>
    <mergeCell ref="AE67:AE73"/>
    <mergeCell ref="AF67:AF73"/>
    <mergeCell ref="AA57:AA63"/>
    <mergeCell ref="AB57:AB63"/>
    <mergeCell ref="AC57:AC63"/>
    <mergeCell ref="AD57:AD63"/>
    <mergeCell ref="AE57:AE63"/>
    <mergeCell ref="AF57:AF63"/>
    <mergeCell ref="AB64:AB66"/>
    <mergeCell ref="AC64:AC66"/>
    <mergeCell ref="AA67:AA73"/>
    <mergeCell ref="AH57:AH63"/>
    <mergeCell ref="AA96:AA101"/>
    <mergeCell ref="AA102:AA111"/>
    <mergeCell ref="AF102:AF111"/>
    <mergeCell ref="AE96:AE101"/>
    <mergeCell ref="AB96:AB101"/>
    <mergeCell ref="AC96:AC101"/>
    <mergeCell ref="AE74:AE81"/>
    <mergeCell ref="AF74:AF81"/>
    <mergeCell ref="R90:R95"/>
    <mergeCell ref="S90:S95"/>
    <mergeCell ref="T90:T95"/>
    <mergeCell ref="U90:U95"/>
    <mergeCell ref="AJ116:AJ119"/>
    <mergeCell ref="AK116:AK119"/>
    <mergeCell ref="AL116:AL119"/>
    <mergeCell ref="AD64:AD66"/>
    <mergeCell ref="AE64:AE66"/>
    <mergeCell ref="AF64:AF66"/>
    <mergeCell ref="AG64:AG66"/>
    <mergeCell ref="AH64:AH66"/>
    <mergeCell ref="AI64:AI66"/>
    <mergeCell ref="AJ64:AJ66"/>
    <mergeCell ref="AK64:AK66"/>
    <mergeCell ref="AL64:AL66"/>
    <mergeCell ref="AD96:AD101"/>
    <mergeCell ref="AG96:AG101"/>
    <mergeCell ref="AL102:AL111"/>
    <mergeCell ref="AK74:AK81"/>
    <mergeCell ref="AL74:AL81"/>
    <mergeCell ref="AJ67:AJ73"/>
    <mergeCell ref="AK67:AK73"/>
    <mergeCell ref="R116:R119"/>
    <mergeCell ref="X116:X119"/>
    <mergeCell ref="Y116:Y119"/>
    <mergeCell ref="Z116:Z119"/>
    <mergeCell ref="AA116:AA119"/>
    <mergeCell ref="A116:A119"/>
    <mergeCell ref="B116:B119"/>
    <mergeCell ref="C116:C119"/>
    <mergeCell ref="M116:M119"/>
    <mergeCell ref="N116:N119"/>
    <mergeCell ref="O116:O119"/>
    <mergeCell ref="P116:P119"/>
    <mergeCell ref="Q116:Q119"/>
    <mergeCell ref="AH74:AH81"/>
    <mergeCell ref="AI74:AI81"/>
    <mergeCell ref="AB90:AB95"/>
    <mergeCell ref="AC90:AC95"/>
    <mergeCell ref="AC116:AC119"/>
    <mergeCell ref="AD116:AD119"/>
    <mergeCell ref="AE116:AE119"/>
    <mergeCell ref="AF116:AF119"/>
    <mergeCell ref="AG116:AG119"/>
    <mergeCell ref="AH116:AH119"/>
    <mergeCell ref="AI116:AI119"/>
    <mergeCell ref="AD90:AD95"/>
    <mergeCell ref="AE90:AE95"/>
    <mergeCell ref="AF90:AF95"/>
    <mergeCell ref="AG90:AG95"/>
    <mergeCell ref="AH90:AH95"/>
    <mergeCell ref="AI90:AI95"/>
    <mergeCell ref="AI112:AI115"/>
    <mergeCell ref="AE84:AE86"/>
    <mergeCell ref="AB116:AB119"/>
    <mergeCell ref="AH96:AH101"/>
    <mergeCell ref="AI96:AI101"/>
    <mergeCell ref="AG102:AG111"/>
    <mergeCell ref="S74:S81"/>
    <mergeCell ref="T74:T81"/>
    <mergeCell ref="U74:U81"/>
    <mergeCell ref="V74:V81"/>
    <mergeCell ref="X74:X81"/>
    <mergeCell ref="Y74:Y81"/>
    <mergeCell ref="Z74:Z81"/>
    <mergeCell ref="AA74:AA81"/>
    <mergeCell ref="AG74:AG81"/>
    <mergeCell ref="M74:M81"/>
    <mergeCell ref="N74:N81"/>
    <mergeCell ref="O74:O81"/>
    <mergeCell ref="P74:P81"/>
    <mergeCell ref="Q74:Q81"/>
    <mergeCell ref="AL84:AL86"/>
    <mergeCell ref="A84:A86"/>
    <mergeCell ref="B84:B86"/>
    <mergeCell ref="C84:C86"/>
    <mergeCell ref="M84:M86"/>
    <mergeCell ref="N84:N86"/>
    <mergeCell ref="O84:O86"/>
    <mergeCell ref="P84:P86"/>
    <mergeCell ref="Q84:Q86"/>
    <mergeCell ref="R84:R86"/>
    <mergeCell ref="S84:S86"/>
    <mergeCell ref="T84:T86"/>
    <mergeCell ref="U84:U86"/>
    <mergeCell ref="V84:V86"/>
    <mergeCell ref="X84:X86"/>
    <mergeCell ref="Y84:Y86"/>
    <mergeCell ref="AJ84:AJ86"/>
    <mergeCell ref="Z84:Z86"/>
    <mergeCell ref="R74:R81"/>
    <mergeCell ref="AJ96:AJ101"/>
    <mergeCell ref="AK84:AK86"/>
    <mergeCell ref="AA84:AA86"/>
    <mergeCell ref="AB84:AB86"/>
    <mergeCell ref="AC84:AC86"/>
    <mergeCell ref="AD84:AD86"/>
    <mergeCell ref="AF84:AF86"/>
    <mergeCell ref="AG84:AG86"/>
    <mergeCell ref="AH84:AH86"/>
    <mergeCell ref="AI84:AI86"/>
    <mergeCell ref="Z96:Z101"/>
    <mergeCell ref="AC102:AC111"/>
    <mergeCell ref="AE102:AE111"/>
    <mergeCell ref="V96:V101"/>
    <mergeCell ref="V102:V111"/>
    <mergeCell ref="AD102:AD111"/>
    <mergeCell ref="V90:V95"/>
    <mergeCell ref="X90:X95"/>
    <mergeCell ref="Y90:Y95"/>
    <mergeCell ref="Z90:Z95"/>
    <mergeCell ref="AA90:AA95"/>
    <mergeCell ref="Z102:Z111"/>
    <mergeCell ref="Y96:Y101"/>
    <mergeCell ref="X96:X101"/>
    <mergeCell ref="AB102:AB111"/>
    <mergeCell ref="W96:W101"/>
    <mergeCell ref="W102:W111"/>
    <mergeCell ref="M90:M95"/>
    <mergeCell ref="N90:N95"/>
    <mergeCell ref="O90:O95"/>
    <mergeCell ref="P90:P95"/>
    <mergeCell ref="Q90:Q95"/>
    <mergeCell ref="AJ112:AJ115"/>
    <mergeCell ref="AK112:AK115"/>
    <mergeCell ref="AL112:AL115"/>
    <mergeCell ref="AJ90:AJ95"/>
    <mergeCell ref="AK90:AK95"/>
    <mergeCell ref="AL90:AL95"/>
    <mergeCell ref="AL96:AL101"/>
    <mergeCell ref="AJ102:AJ111"/>
    <mergeCell ref="O112:O115"/>
    <mergeCell ref="P112:P115"/>
    <mergeCell ref="Q112:Q115"/>
    <mergeCell ref="AE112:AE115"/>
    <mergeCell ref="AF112:AF115"/>
    <mergeCell ref="AG112:AG115"/>
    <mergeCell ref="AH112:AH115"/>
    <mergeCell ref="AK96:AK101"/>
    <mergeCell ref="AH102:AH111"/>
    <mergeCell ref="AI102:AI111"/>
    <mergeCell ref="S102:S111"/>
    <mergeCell ref="AL26:AL32"/>
    <mergeCell ref="AK26:AK32"/>
    <mergeCell ref="AI26:AI32"/>
    <mergeCell ref="AH26:AH32"/>
    <mergeCell ref="AG26:AG32"/>
    <mergeCell ref="AF26:AF32"/>
    <mergeCell ref="AE26:AE32"/>
    <mergeCell ref="AD26:AD32"/>
    <mergeCell ref="AC26:AC32"/>
    <mergeCell ref="A26:A32"/>
    <mergeCell ref="AB112:AB115"/>
    <mergeCell ref="AC112:AC115"/>
    <mergeCell ref="AD112:AD115"/>
    <mergeCell ref="AB26:AB32"/>
    <mergeCell ref="R112:R115"/>
    <mergeCell ref="S112:S115"/>
    <mergeCell ref="T112:T115"/>
    <mergeCell ref="U112:U115"/>
    <mergeCell ref="V112:V115"/>
    <mergeCell ref="X112:X115"/>
    <mergeCell ref="Y112:Y115"/>
    <mergeCell ref="Z112:Z115"/>
    <mergeCell ref="AA112:AA115"/>
    <mergeCell ref="A112:A115"/>
    <mergeCell ref="B112:B115"/>
    <mergeCell ref="C112:C115"/>
    <mergeCell ref="M112:M115"/>
    <mergeCell ref="N112:N115"/>
    <mergeCell ref="W64:W66"/>
    <mergeCell ref="W67:W73"/>
    <mergeCell ref="W74:W81"/>
    <mergeCell ref="W84:W86"/>
    <mergeCell ref="W90:W95"/>
    <mergeCell ref="S9:S10"/>
    <mergeCell ref="T9:T10"/>
    <mergeCell ref="U9:U10"/>
    <mergeCell ref="V9:V10"/>
    <mergeCell ref="X9:X10"/>
    <mergeCell ref="Y9:Y10"/>
    <mergeCell ref="Z9:Z10"/>
    <mergeCell ref="AA9:AA10"/>
    <mergeCell ref="A9:A10"/>
    <mergeCell ref="B9:B10"/>
    <mergeCell ref="C9:C10"/>
    <mergeCell ref="M9:M10"/>
    <mergeCell ref="N9:N10"/>
    <mergeCell ref="O9:O10"/>
    <mergeCell ref="P9:P10"/>
    <mergeCell ref="Q9:Q10"/>
    <mergeCell ref="C11:C12"/>
    <mergeCell ref="M11:M12"/>
    <mergeCell ref="N11:N12"/>
    <mergeCell ref="O11:O12"/>
    <mergeCell ref="P11:P12"/>
    <mergeCell ref="Q11:Q12"/>
    <mergeCell ref="R11:R12"/>
    <mergeCell ref="S11:S12"/>
    <mergeCell ref="T11:T12"/>
    <mergeCell ref="V11:V12"/>
    <mergeCell ref="X11:X12"/>
    <mergeCell ref="Y11:Y12"/>
    <mergeCell ref="Z11:Z12"/>
    <mergeCell ref="AA11:AA12"/>
    <mergeCell ref="AB11:AB12"/>
    <mergeCell ref="AC11:AC12"/>
    <mergeCell ref="P13:P14"/>
    <mergeCell ref="Q13:Q14"/>
    <mergeCell ref="U13:U14"/>
    <mergeCell ref="V13:V14"/>
    <mergeCell ref="X13:X14"/>
    <mergeCell ref="Y13:Y14"/>
    <mergeCell ref="Z13:Z14"/>
    <mergeCell ref="AA13:AA14"/>
    <mergeCell ref="AB13:AB14"/>
    <mergeCell ref="AC13:AC14"/>
    <mergeCell ref="A21:A25"/>
    <mergeCell ref="B21:B25"/>
    <mergeCell ref="C21:C25"/>
    <mergeCell ref="M21:M25"/>
    <mergeCell ref="N21:N25"/>
    <mergeCell ref="O21:O25"/>
    <mergeCell ref="P21:P25"/>
    <mergeCell ref="Q21:Q25"/>
    <mergeCell ref="A13:A14"/>
    <mergeCell ref="B13:B14"/>
    <mergeCell ref="C13:C14"/>
    <mergeCell ref="M13:M14"/>
    <mergeCell ref="N13:N14"/>
    <mergeCell ref="O13:O14"/>
    <mergeCell ref="R6:V6"/>
    <mergeCell ref="W9:W10"/>
    <mergeCell ref="W11:W12"/>
    <mergeCell ref="W13:W14"/>
    <mergeCell ref="W21:W25"/>
    <mergeCell ref="W26:W32"/>
    <mergeCell ref="W33:W43"/>
    <mergeCell ref="W44:W53"/>
    <mergeCell ref="W6:AC6"/>
    <mergeCell ref="AB21:AB25"/>
    <mergeCell ref="AC21:AC25"/>
    <mergeCell ref="R21:R25"/>
    <mergeCell ref="S21:S25"/>
    <mergeCell ref="T21:T25"/>
    <mergeCell ref="U21:U25"/>
    <mergeCell ref="V21:V25"/>
    <mergeCell ref="X21:X25"/>
    <mergeCell ref="Y21:Y25"/>
    <mergeCell ref="Z21:Z25"/>
    <mergeCell ref="AA21:AA25"/>
    <mergeCell ref="R13:R14"/>
    <mergeCell ref="S13:S14"/>
    <mergeCell ref="T13:T14"/>
    <mergeCell ref="U11:U12"/>
    <mergeCell ref="X120:X126"/>
    <mergeCell ref="Y120:Y126"/>
    <mergeCell ref="Z120:Z126"/>
    <mergeCell ref="AB120:AB126"/>
    <mergeCell ref="AC120:AC126"/>
    <mergeCell ref="AA120:AA126"/>
    <mergeCell ref="W112:W115"/>
    <mergeCell ref="W116:W119"/>
    <mergeCell ref="A120:A126"/>
    <mergeCell ref="B120:B126"/>
    <mergeCell ref="C120:C126"/>
    <mergeCell ref="M120:M126"/>
    <mergeCell ref="N120:N126"/>
    <mergeCell ref="O120:O126"/>
    <mergeCell ref="R120:R126"/>
    <mergeCell ref="S120:S126"/>
    <mergeCell ref="T120:T126"/>
    <mergeCell ref="U120:U126"/>
    <mergeCell ref="V120:V126"/>
    <mergeCell ref="W120:W126"/>
    <mergeCell ref="S116:S119"/>
    <mergeCell ref="T116:T119"/>
    <mergeCell ref="U116:U119"/>
    <mergeCell ref="V116:V119"/>
    <mergeCell ref="C132:C135"/>
    <mergeCell ref="M132:M135"/>
    <mergeCell ref="N132:N135"/>
    <mergeCell ref="O132:O135"/>
    <mergeCell ref="P132:P135"/>
    <mergeCell ref="Q132:Q135"/>
    <mergeCell ref="R132:R135"/>
    <mergeCell ref="S132:S135"/>
    <mergeCell ref="T132:T135"/>
    <mergeCell ref="U132:U135"/>
    <mergeCell ref="V132:V135"/>
    <mergeCell ref="W132:W135"/>
    <mergeCell ref="X132:X135"/>
    <mergeCell ref="Y132:Y135"/>
    <mergeCell ref="Z132:Z135"/>
    <mergeCell ref="AA132:AA135"/>
    <mergeCell ref="AB132:AB135"/>
    <mergeCell ref="AC132:AC135"/>
  </mergeCells>
  <pageMargins left="0.51181102362204722" right="0.51181102362204722" top="0.74803149606299213" bottom="0.35433070866141736" header="0" footer="0"/>
  <pageSetup paperSize="9" scale="31" fitToHeight="0" orientation="landscape" r:id="rId1"/>
  <rowBreaks count="5" manualBreakCount="5">
    <brk id="20" max="38" man="1"/>
    <brk id="43" max="38" man="1"/>
    <brk id="63" max="38" man="1"/>
    <brk id="83" max="38" man="1"/>
    <brk id="101" max="3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A302-B443-42EE-AF35-6FDD2FAD8CAD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177" t="s">
        <v>276</v>
      </c>
      <c r="B1" s="178"/>
      <c r="C1" s="179"/>
    </row>
    <row r="2" spans="1:3" ht="15" customHeight="1" x14ac:dyDescent="0.25">
      <c r="A2" s="180"/>
      <c r="B2" s="181" t="s">
        <v>277</v>
      </c>
      <c r="C2" s="182"/>
    </row>
    <row r="3" spans="1:3" ht="15" customHeight="1" x14ac:dyDescent="0.25">
      <c r="A3" s="180"/>
      <c r="B3" s="181" t="s">
        <v>278</v>
      </c>
      <c r="C3" s="182"/>
    </row>
    <row r="4" spans="1:3" ht="15" customHeight="1" x14ac:dyDescent="0.25">
      <c r="A4" s="183" t="s">
        <v>279</v>
      </c>
      <c r="B4" s="184"/>
      <c r="C4" s="185"/>
    </row>
    <row r="5" spans="1:3" ht="15" customHeight="1" x14ac:dyDescent="0.25">
      <c r="A5" s="175" t="s">
        <v>280</v>
      </c>
      <c r="B5" s="176"/>
      <c r="C5" s="99" t="s">
        <v>281</v>
      </c>
    </row>
    <row r="6" spans="1:3" ht="105" x14ac:dyDescent="0.25">
      <c r="A6" s="173" t="s">
        <v>282</v>
      </c>
      <c r="B6" s="174"/>
      <c r="C6" s="99" t="s">
        <v>283</v>
      </c>
    </row>
    <row r="7" spans="1:3" ht="60" x14ac:dyDescent="0.25">
      <c r="A7" s="173" t="s">
        <v>284</v>
      </c>
      <c r="B7" s="174"/>
      <c r="C7" s="99" t="s">
        <v>285</v>
      </c>
    </row>
    <row r="8" spans="1:3" ht="15" customHeight="1" x14ac:dyDescent="0.25">
      <c r="A8" s="175" t="s">
        <v>286</v>
      </c>
      <c r="B8" s="176"/>
      <c r="C8" s="99" t="s">
        <v>287</v>
      </c>
    </row>
    <row r="9" spans="1:3" ht="15" customHeight="1" x14ac:dyDescent="0.25">
      <c r="A9" s="175" t="s">
        <v>288</v>
      </c>
      <c r="B9" s="176"/>
      <c r="C9" s="99" t="s">
        <v>289</v>
      </c>
    </row>
    <row r="10" spans="1:3" ht="15" customHeight="1" x14ac:dyDescent="0.25">
      <c r="A10" s="175" t="s">
        <v>290</v>
      </c>
      <c r="B10" s="176"/>
      <c r="C10" s="99" t="s">
        <v>291</v>
      </c>
    </row>
    <row r="11" spans="1:3" ht="15" customHeight="1" x14ac:dyDescent="0.25">
      <c r="A11" s="175" t="s">
        <v>292</v>
      </c>
      <c r="B11" s="176"/>
      <c r="C11" s="99" t="s">
        <v>293</v>
      </c>
    </row>
    <row r="12" spans="1:3" ht="15.75" thickBot="1" x14ac:dyDescent="0.3">
      <c r="A12" s="100"/>
      <c r="B12" s="101"/>
      <c r="C12" s="102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ВЛ </vt:lpstr>
      <vt:lpstr>КЛ</vt:lpstr>
      <vt:lpstr>ПС</vt:lpstr>
      <vt:lpstr>Информация о подписи</vt:lpstr>
      <vt:lpstr>'ВЛ '!Область_печати</vt:lpstr>
      <vt:lpstr>ПС!Область_печати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2024-11-25T01:26:54Z</dcterms:modified>
</cp:coreProperties>
</file>